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odom\Desktop\"/>
    </mc:Choice>
  </mc:AlternateContent>
  <xr:revisionPtr revIDLastSave="0" documentId="8_{DB9C5DB2-4F1D-4704-B04B-D2C306607301}" xr6:coauthVersionLast="47" xr6:coauthVersionMax="47" xr10:uidLastSave="{00000000-0000-0000-0000-000000000000}"/>
  <bookViews>
    <workbookView xWindow="-120" yWindow="-120" windowWidth="20730" windowHeight="11040" firstSheet="4" activeTab="4" xr2:uid="{00000000-000D-0000-FFFF-FFFF00000000}"/>
  </bookViews>
  <sheets>
    <sheet name="決算みこみ" sheetId="1" state="hidden" r:id="rId1"/>
    <sheet name="給与体系 " sheetId="4" state="hidden" r:id="rId2"/>
    <sheet name="勤続加算" sheetId="3" state="hidden" r:id="rId3"/>
    <sheet name="24決算、25予算" sheetId="5" state="hidden" r:id="rId4"/>
    <sheet name="２６年度予算資料" sheetId="6" r:id="rId5"/>
  </sheets>
  <definedNames>
    <definedName name="_xlnm.Print_Area" localSheetId="1">'給与体系 '!$A$1:$W$48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6" l="1"/>
  <c r="I43" i="6" l="1"/>
  <c r="H46" i="6"/>
  <c r="I46" i="6"/>
  <c r="H44" i="6"/>
  <c r="H18" i="6" l="1"/>
  <c r="H49" i="6"/>
  <c r="I49" i="6" s="1"/>
  <c r="I48" i="6" s="1"/>
  <c r="H48" i="6"/>
  <c r="H47" i="6"/>
  <c r="I47" i="6" s="1"/>
  <c r="H45" i="6"/>
  <c r="H43" i="6"/>
  <c r="H42" i="6"/>
  <c r="I42" i="6" s="1"/>
  <c r="H41" i="6"/>
  <c r="H40" i="6"/>
  <c r="H39" i="6"/>
  <c r="H38" i="6"/>
  <c r="H37" i="6"/>
  <c r="H36" i="6"/>
  <c r="H35" i="6"/>
  <c r="I35" i="6" s="1"/>
  <c r="H34" i="6"/>
  <c r="H33" i="6"/>
  <c r="H32" i="6"/>
  <c r="H31" i="6"/>
  <c r="H30" i="6"/>
  <c r="H28" i="6"/>
  <c r="I28" i="6" s="1"/>
  <c r="H27" i="6"/>
  <c r="H26" i="6"/>
  <c r="I26" i="6" s="1"/>
  <c r="H25" i="6"/>
  <c r="I25" i="6" s="1"/>
  <c r="H24" i="6"/>
  <c r="I24" i="6" s="1"/>
  <c r="H23" i="6"/>
  <c r="H22" i="6"/>
  <c r="H20" i="6"/>
  <c r="I20" i="6" s="1"/>
  <c r="I15" i="6" s="1"/>
  <c r="H17" i="6"/>
  <c r="H16" i="6"/>
  <c r="H15" i="6" s="1"/>
  <c r="H13" i="6"/>
  <c r="H5" i="6"/>
  <c r="G13" i="6"/>
  <c r="G15" i="6"/>
  <c r="D51" i="5"/>
  <c r="D57" i="5" s="1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29" i="5" s="1"/>
  <c r="F30" i="5"/>
  <c r="C29" i="5"/>
  <c r="F28" i="5"/>
  <c r="F27" i="5"/>
  <c r="F26" i="5"/>
  <c r="F25" i="5"/>
  <c r="F24" i="5"/>
  <c r="F23" i="5"/>
  <c r="F22" i="5"/>
  <c r="F21" i="5"/>
  <c r="C21" i="5"/>
  <c r="C50" i="5" s="1"/>
  <c r="F20" i="5"/>
  <c r="F19" i="5"/>
  <c r="F17" i="5"/>
  <c r="F15" i="5" s="1"/>
  <c r="F50" i="5" s="1"/>
  <c r="F16" i="5"/>
  <c r="F12" i="5"/>
  <c r="F10" i="5"/>
  <c r="F8" i="5"/>
  <c r="F6" i="5"/>
  <c r="F13" i="5" s="1"/>
  <c r="C6" i="5"/>
  <c r="G4" i="5"/>
  <c r="S38" i="4"/>
  <c r="M36" i="4"/>
  <c r="H35" i="4"/>
  <c r="I34" i="4"/>
  <c r="H34" i="4"/>
  <c r="H33" i="4"/>
  <c r="G32" i="4"/>
  <c r="H32" i="4" s="1"/>
  <c r="L32" i="4" s="1"/>
  <c r="O32" i="4" s="1"/>
  <c r="P32" i="4" s="1"/>
  <c r="T32" i="4" s="1"/>
  <c r="R31" i="4"/>
  <c r="G31" i="4"/>
  <c r="H31" i="4" s="1"/>
  <c r="R30" i="4"/>
  <c r="Q30" i="4"/>
  <c r="G30" i="4"/>
  <c r="H30" i="4" s="1"/>
  <c r="L30" i="4" s="1"/>
  <c r="O30" i="4" s="1"/>
  <c r="P30" i="4" s="1"/>
  <c r="T30" i="4" s="1"/>
  <c r="S29" i="4"/>
  <c r="R29" i="4"/>
  <c r="G29" i="4"/>
  <c r="H29" i="4" s="1"/>
  <c r="S28" i="4"/>
  <c r="R28" i="4"/>
  <c r="G28" i="4"/>
  <c r="H28" i="4" s="1"/>
  <c r="S27" i="4"/>
  <c r="S36" i="4" s="1"/>
  <c r="R27" i="4"/>
  <c r="G27" i="4"/>
  <c r="H27" i="4" s="1"/>
  <c r="L27" i="4" s="1"/>
  <c r="O27" i="4" s="1"/>
  <c r="P27" i="4" s="1"/>
  <c r="H26" i="4"/>
  <c r="L26" i="4" s="1"/>
  <c r="O26" i="4" s="1"/>
  <c r="P26" i="4" s="1"/>
  <c r="T26" i="4" s="1"/>
  <c r="R25" i="4"/>
  <c r="G25" i="4"/>
  <c r="H25" i="4" s="1"/>
  <c r="R24" i="4"/>
  <c r="Q24" i="4"/>
  <c r="P24" i="4"/>
  <c r="T24" i="4" s="1"/>
  <c r="G24" i="4"/>
  <c r="H24" i="4" s="1"/>
  <c r="L24" i="4" s="1"/>
  <c r="O24" i="4" s="1"/>
  <c r="G23" i="4"/>
  <c r="H23" i="4" s="1"/>
  <c r="L23" i="4" s="1"/>
  <c r="O23" i="4" s="1"/>
  <c r="P23" i="4" s="1"/>
  <c r="T23" i="4" s="1"/>
  <c r="G22" i="4"/>
  <c r="H22" i="4" s="1"/>
  <c r="H36" i="4" s="1"/>
  <c r="R21" i="4"/>
  <c r="H21" i="4"/>
  <c r="Q21" i="4" s="1"/>
  <c r="G21" i="4"/>
  <c r="R20" i="4"/>
  <c r="H20" i="4"/>
  <c r="R19" i="4"/>
  <c r="H19" i="4"/>
  <c r="G19" i="4"/>
  <c r="R18" i="4"/>
  <c r="Q18" i="4"/>
  <c r="H18" i="4"/>
  <c r="L18" i="4" s="1"/>
  <c r="O18" i="4" s="1"/>
  <c r="P18" i="4" s="1"/>
  <c r="T18" i="4" s="1"/>
  <c r="G18" i="4"/>
  <c r="S17" i="4"/>
  <c r="R17" i="4"/>
  <c r="G17" i="4"/>
  <c r="H17" i="4" s="1"/>
  <c r="S13" i="4"/>
  <c r="R13" i="4"/>
  <c r="M13" i="4"/>
  <c r="L13" i="4"/>
  <c r="K13" i="4"/>
  <c r="W12" i="4"/>
  <c r="S12" i="4"/>
  <c r="R12" i="4"/>
  <c r="Q12" i="4"/>
  <c r="F12" i="4"/>
  <c r="I12" i="4" s="1"/>
  <c r="W11" i="4"/>
  <c r="S11" i="4"/>
  <c r="R11" i="4"/>
  <c r="J11" i="4"/>
  <c r="J12" i="4" s="1"/>
  <c r="H11" i="4"/>
  <c r="F11" i="4"/>
  <c r="I11" i="4" s="1"/>
  <c r="Q11" i="4" s="1"/>
  <c r="W10" i="4"/>
  <c r="R10" i="4"/>
  <c r="J10" i="4"/>
  <c r="H10" i="4"/>
  <c r="I10" i="4" s="1"/>
  <c r="F10" i="4"/>
  <c r="W9" i="4"/>
  <c r="S9" i="4"/>
  <c r="R9" i="4"/>
  <c r="J9" i="4"/>
  <c r="H9" i="4"/>
  <c r="F9" i="4"/>
  <c r="I9" i="4" s="1"/>
  <c r="W8" i="4"/>
  <c r="R8" i="4"/>
  <c r="J8" i="4"/>
  <c r="H8" i="4"/>
  <c r="F8" i="4"/>
  <c r="I8" i="4" s="1"/>
  <c r="Q8" i="4" s="1"/>
  <c r="W7" i="4"/>
  <c r="W13" i="4" s="1"/>
  <c r="R7" i="4"/>
  <c r="H7" i="4"/>
  <c r="F7" i="4"/>
  <c r="I7" i="4" s="1"/>
  <c r="W6" i="4"/>
  <c r="R6" i="4"/>
  <c r="H6" i="4"/>
  <c r="F6" i="4"/>
  <c r="I6" i="4" s="1"/>
  <c r="W5" i="4"/>
  <c r="S5" i="4"/>
  <c r="Q5" i="4"/>
  <c r="H5" i="4"/>
  <c r="I5" i="4" s="1"/>
  <c r="O5" i="4" s="1"/>
  <c r="F5" i="4"/>
  <c r="H76" i="1"/>
  <c r="F76" i="1"/>
  <c r="G75" i="1"/>
  <c r="G74" i="1"/>
  <c r="G73" i="1"/>
  <c r="A72" i="1"/>
  <c r="G72" i="1" s="1"/>
  <c r="A71" i="1"/>
  <c r="G71" i="1" s="1"/>
  <c r="G70" i="1"/>
  <c r="A70" i="1"/>
  <c r="F67" i="1"/>
  <c r="I63" i="1"/>
  <c r="M46" i="1"/>
  <c r="J46" i="1"/>
  <c r="L46" i="1" s="1"/>
  <c r="D45" i="1"/>
  <c r="G45" i="1" s="1"/>
  <c r="D44" i="1"/>
  <c r="G44" i="1" s="1"/>
  <c r="D43" i="1"/>
  <c r="G43" i="1" s="1"/>
  <c r="I45" i="1" s="1"/>
  <c r="M42" i="1"/>
  <c r="J42" i="1"/>
  <c r="I42" i="1"/>
  <c r="D42" i="1"/>
  <c r="G42" i="1" s="1"/>
  <c r="I37" i="1" s="1"/>
  <c r="D41" i="1"/>
  <c r="G41" i="1" s="1"/>
  <c r="I44" i="1" s="1"/>
  <c r="M40" i="1"/>
  <c r="D40" i="1"/>
  <c r="G40" i="1" s="1"/>
  <c r="I43" i="1" s="1"/>
  <c r="M39" i="1"/>
  <c r="J39" i="1"/>
  <c r="G39" i="1"/>
  <c r="D38" i="1"/>
  <c r="G38" i="1" s="1"/>
  <c r="I41" i="1" s="1"/>
  <c r="D37" i="1"/>
  <c r="G37" i="1" s="1"/>
  <c r="I40" i="1" s="1"/>
  <c r="J40" i="1" s="1"/>
  <c r="M36" i="1"/>
  <c r="J36" i="1"/>
  <c r="D36" i="1"/>
  <c r="G36" i="1" s="1"/>
  <c r="I39" i="1" s="1"/>
  <c r="I35" i="1"/>
  <c r="M35" i="1" s="1"/>
  <c r="G35" i="1"/>
  <c r="I38" i="1" s="1"/>
  <c r="D35" i="1"/>
  <c r="J34" i="1"/>
  <c r="D34" i="1"/>
  <c r="G34" i="1" s="1"/>
  <c r="I33" i="1" s="1"/>
  <c r="D33" i="1"/>
  <c r="G33" i="1" s="1"/>
  <c r="G32" i="1"/>
  <c r="I32" i="1" s="1"/>
  <c r="I31" i="1"/>
  <c r="M31" i="1" s="1"/>
  <c r="G31" i="1"/>
  <c r="D30" i="1"/>
  <c r="G30" i="1" s="1"/>
  <c r="I30" i="1" s="1"/>
  <c r="D29" i="1"/>
  <c r="G29" i="1" s="1"/>
  <c r="I29" i="1" s="1"/>
  <c r="J29" i="1" s="1"/>
  <c r="D28" i="1"/>
  <c r="G28" i="1" s="1"/>
  <c r="I28" i="1" s="1"/>
  <c r="M28" i="1" s="1"/>
  <c r="L27" i="1"/>
  <c r="D27" i="1"/>
  <c r="G27" i="1" s="1"/>
  <c r="I27" i="1" s="1"/>
  <c r="M27" i="1" s="1"/>
  <c r="J26" i="1"/>
  <c r="L26" i="1" s="1"/>
  <c r="M25" i="1"/>
  <c r="D25" i="1"/>
  <c r="G25" i="1" s="1"/>
  <c r="I25" i="1" s="1"/>
  <c r="D24" i="1"/>
  <c r="G24" i="1" s="1"/>
  <c r="I24" i="1" s="1"/>
  <c r="D23" i="1"/>
  <c r="G23" i="1" s="1"/>
  <c r="I23" i="1" s="1"/>
  <c r="M22" i="1"/>
  <c r="D22" i="1"/>
  <c r="G22" i="1" s="1"/>
  <c r="I22" i="1" s="1"/>
  <c r="J22" i="1" s="1"/>
  <c r="L22" i="1" s="1"/>
  <c r="D21" i="1"/>
  <c r="G21" i="1" s="1"/>
  <c r="I21" i="1" s="1"/>
  <c r="D20" i="1"/>
  <c r="G20" i="1" s="1"/>
  <c r="I20" i="1" s="1"/>
  <c r="D19" i="1"/>
  <c r="G19" i="1" s="1"/>
  <c r="I19" i="1" s="1"/>
  <c r="D18" i="1"/>
  <c r="G18" i="1" s="1"/>
  <c r="I18" i="1" s="1"/>
  <c r="M17" i="1"/>
  <c r="J17" i="1"/>
  <c r="L17" i="1" s="1"/>
  <c r="D15" i="1"/>
  <c r="G15" i="1" s="1"/>
  <c r="I16" i="1" s="1"/>
  <c r="J16" i="1" s="1"/>
  <c r="L16" i="1" s="1"/>
  <c r="J14" i="1"/>
  <c r="L14" i="1" s="1"/>
  <c r="I14" i="1"/>
  <c r="D14" i="1"/>
  <c r="G14" i="1" s="1"/>
  <c r="L13" i="1"/>
  <c r="J13" i="1"/>
  <c r="D13" i="1"/>
  <c r="G13" i="1" s="1"/>
  <c r="I13" i="1" s="1"/>
  <c r="I12" i="1" s="1"/>
  <c r="L12" i="1"/>
  <c r="J12" i="1"/>
  <c r="G12" i="1"/>
  <c r="L9" i="1"/>
  <c r="K9" i="1"/>
  <c r="J9" i="1"/>
  <c r="I9" i="1"/>
  <c r="M9" i="1" s="1"/>
  <c r="M8" i="1"/>
  <c r="M7" i="1"/>
  <c r="K10" i="6"/>
  <c r="L10" i="6" s="1"/>
  <c r="I10" i="6" s="1"/>
  <c r="I11" i="6" s="1"/>
  <c r="K8" i="6"/>
  <c r="L8" i="6" s="1"/>
  <c r="I8" i="6" s="1"/>
  <c r="I9" i="6" s="1"/>
  <c r="K6" i="6"/>
  <c r="L6" i="6" s="1"/>
  <c r="I6" i="6" s="1"/>
  <c r="I7" i="6" s="1"/>
  <c r="K5" i="6"/>
  <c r="L5" i="6" s="1"/>
  <c r="I5" i="6" s="1"/>
  <c r="H29" i="6" l="1"/>
  <c r="H21" i="6"/>
  <c r="I29" i="6"/>
  <c r="I13" i="6"/>
  <c r="I21" i="6"/>
  <c r="I50" i="6" s="1"/>
  <c r="I51" i="6" s="1"/>
  <c r="H50" i="6"/>
  <c r="H51" i="6" s="1"/>
  <c r="L13" i="6"/>
  <c r="M38" i="1"/>
  <c r="J38" i="1"/>
  <c r="J37" i="1"/>
  <c r="M37" i="1"/>
  <c r="M20" i="1"/>
  <c r="J20" i="1"/>
  <c r="L20" i="1" s="1"/>
  <c r="I47" i="1"/>
  <c r="M12" i="1"/>
  <c r="M45" i="1"/>
  <c r="J45" i="1"/>
  <c r="J25" i="1"/>
  <c r="L25" i="1" s="1"/>
  <c r="M26" i="1"/>
  <c r="Q28" i="4"/>
  <c r="L28" i="4"/>
  <c r="O28" i="4" s="1"/>
  <c r="P28" i="4" s="1"/>
  <c r="T28" i="4" s="1"/>
  <c r="P5" i="4"/>
  <c r="Q10" i="4"/>
  <c r="O10" i="4"/>
  <c r="P10" i="4" s="1"/>
  <c r="T10" i="4" s="1"/>
  <c r="M44" i="1"/>
  <c r="J44" i="1"/>
  <c r="L29" i="4"/>
  <c r="O29" i="4" s="1"/>
  <c r="P29" i="4" s="1"/>
  <c r="Q29" i="4"/>
  <c r="M18" i="1"/>
  <c r="J18" i="1"/>
  <c r="L18" i="1" s="1"/>
  <c r="L47" i="1" s="1"/>
  <c r="L49" i="1" s="1"/>
  <c r="Q9" i="4"/>
  <c r="O9" i="4"/>
  <c r="P9" i="4" s="1"/>
  <c r="T9" i="4" s="1"/>
  <c r="Q25" i="4"/>
  <c r="Q36" i="4" s="1"/>
  <c r="L25" i="4"/>
  <c r="O25" i="4" s="1"/>
  <c r="P25" i="4" s="1"/>
  <c r="T25" i="4" s="1"/>
  <c r="M21" i="1"/>
  <c r="J21" i="1"/>
  <c r="L21" i="1" s="1"/>
  <c r="M41" i="1"/>
  <c r="J41" i="1"/>
  <c r="Q7" i="4"/>
  <c r="O7" i="4"/>
  <c r="P7" i="4" s="1"/>
  <c r="T7" i="4" s="1"/>
  <c r="Q17" i="4"/>
  <c r="L17" i="4"/>
  <c r="O17" i="4" s="1"/>
  <c r="P17" i="4" s="1"/>
  <c r="T17" i="4" s="1"/>
  <c r="Q31" i="4"/>
  <c r="L31" i="4"/>
  <c r="O31" i="4" s="1"/>
  <c r="P31" i="4" s="1"/>
  <c r="T31" i="4" s="1"/>
  <c r="M23" i="1"/>
  <c r="J23" i="1"/>
  <c r="L23" i="1" s="1"/>
  <c r="M32" i="1"/>
  <c r="J32" i="1"/>
  <c r="M24" i="1"/>
  <c r="J24" i="1"/>
  <c r="L24" i="1" s="1"/>
  <c r="M19" i="1"/>
  <c r="L19" i="1"/>
  <c r="J19" i="1"/>
  <c r="L21" i="4"/>
  <c r="O21" i="4" s="1"/>
  <c r="P21" i="4" s="1"/>
  <c r="T21" i="4" s="1"/>
  <c r="J31" i="1"/>
  <c r="J35" i="1"/>
  <c r="R36" i="4"/>
  <c r="L33" i="4"/>
  <c r="M16" i="1"/>
  <c r="M43" i="1"/>
  <c r="J43" i="1"/>
  <c r="L22" i="4"/>
  <c r="J28" i="1"/>
  <c r="O6" i="4"/>
  <c r="P6" i="4" s="1"/>
  <c r="Q6" i="4"/>
  <c r="Q13" i="4" s="1"/>
  <c r="U39" i="4" s="1"/>
  <c r="O11" i="4"/>
  <c r="P11" i="4" s="1"/>
  <c r="T11" i="4" s="1"/>
  <c r="Q19" i="4"/>
  <c r="L19" i="4"/>
  <c r="O19" i="4" s="1"/>
  <c r="P19" i="4" s="1"/>
  <c r="T19" i="4" s="1"/>
  <c r="I13" i="4"/>
  <c r="J34" i="4"/>
  <c r="O8" i="4"/>
  <c r="P8" i="4" s="1"/>
  <c r="T8" i="4" s="1"/>
  <c r="J13" i="4"/>
  <c r="K34" i="4"/>
  <c r="Q20" i="4"/>
  <c r="L20" i="4"/>
  <c r="O20" i="4" s="1"/>
  <c r="P20" i="4" s="1"/>
  <c r="T20" i="4" s="1"/>
  <c r="F51" i="5"/>
  <c r="M33" i="1"/>
  <c r="J33" i="1"/>
  <c r="M30" i="1"/>
  <c r="J30" i="1"/>
  <c r="Q27" i="4"/>
  <c r="T27" i="4" s="1"/>
  <c r="Q35" i="4"/>
  <c r="I35" i="4"/>
  <c r="J35" i="4" s="1"/>
  <c r="G76" i="1"/>
  <c r="O12" i="4"/>
  <c r="P12" i="4" s="1"/>
  <c r="T12" i="4" s="1"/>
  <c r="K33" i="4"/>
  <c r="O22" i="4" l="1"/>
  <c r="I36" i="4"/>
  <c r="O13" i="4"/>
  <c r="K35" i="4"/>
  <c r="L35" i="4" s="1"/>
  <c r="O35" i="4" s="1"/>
  <c r="P35" i="4" s="1"/>
  <c r="T35" i="4" s="1"/>
  <c r="T29" i="4"/>
  <c r="J36" i="4"/>
  <c r="I49" i="1"/>
  <c r="M49" i="1" s="1"/>
  <c r="M47" i="1"/>
  <c r="L34" i="4"/>
  <c r="L36" i="4" s="1"/>
  <c r="P13" i="4"/>
  <c r="T5" i="4"/>
  <c r="T6" i="4"/>
  <c r="J27" i="1"/>
  <c r="J47" i="1" s="1"/>
  <c r="K36" i="4" l="1"/>
  <c r="K47" i="1"/>
  <c r="K49" i="1" s="1"/>
  <c r="J49" i="1"/>
  <c r="O36" i="4"/>
  <c r="P22" i="4"/>
  <c r="T13" i="4"/>
  <c r="P36" i="4" l="1"/>
  <c r="T22" i="4"/>
  <c r="T36" i="4" s="1"/>
  <c r="U38" i="4" s="1"/>
  <c r="U40" i="4" s="1"/>
</calcChain>
</file>

<file path=xl/sharedStrings.xml><?xml version="1.0" encoding="utf-8"?>
<sst xmlns="http://schemas.openxmlformats.org/spreadsheetml/2006/main" count="635" uniqueCount="460">
  <si>
    <t>②会計事務所からの2022年1月までの財務報告書</t>
  </si>
  <si>
    <t>2022年1月試算</t>
  </si>
  <si>
    <t>【保育事業収益】</t>
  </si>
  <si>
    <t>【施設型給付費収益】</t>
  </si>
  <si>
    <t>施設型給付費収益</t>
  </si>
  <si>
    <t>③2021年度試算3月末 試算、予算</t>
  </si>
  <si>
    <t>21年度予算-試算比</t>
  </si>
  <si>
    <t>①2021年度当初予算案</t>
  </si>
  <si>
    <t>利用者負担金収益</t>
  </si>
  <si>
    <t>科目</t>
  </si>
  <si>
    <t>決算予測</t>
  </si>
  <si>
    <t>2022予算45人</t>
  </si>
  <si>
    <t>46人での試算</t>
  </si>
  <si>
    <t>51人での予算</t>
  </si>
  <si>
    <t>予算</t>
  </si>
  <si>
    <t>【その他の事業収益】</t>
  </si>
  <si>
    <t>公定価格</t>
  </si>
  <si>
    <t>補助金事業収益(公費)</t>
  </si>
  <si>
    <t>市補助金</t>
  </si>
  <si>
    <t>市運営費補助収入</t>
  </si>
  <si>
    <t>【サービス活動収益計】</t>
  </si>
  <si>
    <t>収入(概算)</t>
  </si>
  <si>
    <t>収入合計</t>
  </si>
  <si>
    <t>残月係数</t>
  </si>
  <si>
    <t>2～3月予測</t>
  </si>
  <si>
    <t>【人件費】</t>
  </si>
  <si>
    <t>人件費</t>
  </si>
  <si>
    <t>職員給料</t>
  </si>
  <si>
    <t>　職員給与</t>
  </si>
  <si>
    <t>職員賞与</t>
  </si>
  <si>
    <t>　非常勤職員給与</t>
  </si>
  <si>
    <t>法定福利費</t>
  </si>
  <si>
    <t>　通勤交通費</t>
  </si>
  <si>
    <t>　法定福利費</t>
  </si>
  <si>
    <t>役員手当</t>
  </si>
  <si>
    <t>　役員手当</t>
  </si>
  <si>
    <t>【事業費】</t>
  </si>
  <si>
    <t>事業費</t>
  </si>
  <si>
    <t>給食費</t>
  </si>
  <si>
    <t>　給食費</t>
  </si>
  <si>
    <t>保健衛生費</t>
  </si>
  <si>
    <t>　保健衛生費</t>
  </si>
  <si>
    <t>保育材料費</t>
  </si>
  <si>
    <t>　保育材料費</t>
  </si>
  <si>
    <t>水道光熱費</t>
  </si>
  <si>
    <t>　水光熱費</t>
  </si>
  <si>
    <t>消耗器具備品費</t>
  </si>
  <si>
    <t>　消耗器具備品費</t>
  </si>
  <si>
    <t>賃借料</t>
  </si>
  <si>
    <t xml:space="preserve">  賃貸料支出</t>
  </si>
  <si>
    <t>雑費</t>
  </si>
  <si>
    <t>　保険料</t>
  </si>
  <si>
    <t>保険料　賠責</t>
  </si>
  <si>
    <t>　雑費</t>
  </si>
  <si>
    <t>【事務費】</t>
  </si>
  <si>
    <t>事務費</t>
  </si>
  <si>
    <t>福利厚生費</t>
  </si>
  <si>
    <t>　福利厚生費</t>
  </si>
  <si>
    <t>職員被服費</t>
  </si>
  <si>
    <t>旅費交通費</t>
  </si>
  <si>
    <t>　旅費交通費</t>
  </si>
  <si>
    <t>研修研究費</t>
  </si>
  <si>
    <t>　研修費</t>
  </si>
  <si>
    <t>事務消耗品費</t>
  </si>
  <si>
    <t>　事務消耗品</t>
  </si>
  <si>
    <t>通信運搬費</t>
  </si>
  <si>
    <t>広報費</t>
  </si>
  <si>
    <t>　広報費</t>
  </si>
  <si>
    <t>業務委託費</t>
  </si>
  <si>
    <t>　通信運搬費</t>
  </si>
  <si>
    <t>手数料</t>
  </si>
  <si>
    <t>　会議行事費</t>
  </si>
  <si>
    <t>保険料</t>
  </si>
  <si>
    <t>諸会費</t>
  </si>
  <si>
    <t>　諸会費</t>
  </si>
  <si>
    <t>　業務委託費</t>
  </si>
  <si>
    <t>土地・建物賃借料</t>
  </si>
  <si>
    <t>　手数料</t>
  </si>
  <si>
    <t>租税公課</t>
  </si>
  <si>
    <t>保険料　内装火災</t>
  </si>
  <si>
    <t>保守料</t>
  </si>
  <si>
    <t>　賃貸料</t>
  </si>
  <si>
    <t>　建物賃貸料</t>
  </si>
  <si>
    <t>　租税公課</t>
  </si>
  <si>
    <t>【サービス活動費用計】</t>
  </si>
  <si>
    <t>【サービス活動増減差額】</t>
  </si>
  <si>
    <t>【サービス活動外収益計】</t>
  </si>
  <si>
    <t>政策信用公庫返済</t>
  </si>
  <si>
    <t>公庫返済</t>
  </si>
  <si>
    <t>【支払利息】</t>
  </si>
  <si>
    <t>支出合計</t>
  </si>
  <si>
    <t>支払利息</t>
  </si>
  <si>
    <t xml:space="preserve"> </t>
  </si>
  <si>
    <t>【サービス活動外費用計】</t>
  </si>
  <si>
    <t>当期利益</t>
  </si>
  <si>
    <t>サービス活動増兼差額</t>
  </si>
  <si>
    <t>【サービス活動外増減差額】</t>
  </si>
  <si>
    <t>【経常増減差額】</t>
  </si>
  <si>
    <t>〔税引前当期活動増減差額〕</t>
  </si>
  <si>
    <t>〔当期活動増減差額〕</t>
  </si>
  <si>
    <t>前期繰越活動増減差額</t>
  </si>
  <si>
    <t>〔当期末繰越活動増減差額〕</t>
  </si>
  <si>
    <t>〔次期繰越活動増減差額〕</t>
  </si>
  <si>
    <t>佐口様　21年度もあと僅かとなりました。1月までの財務報告②が会計事務所から上がってきましたので、年度末までのシュミレーションをしました。　　　　　　　　
収入は、ほぼこの知覚で行けそうです。
旅費交通費など、一部会計事務所に確認しなくてはならないものがありそうですが、とりあえず無視しています。
③の21年度試算シュミレーションが今年度の決算見込みとなりそうです。
それにしてもかなりひどい予算だった？
早急にやらないとならないのは、勘定科目のあり方ですね。例えば人件費部分、会議行事費など
来年度予算の人件費との関係では、常勤嘱託の緒方さんはこの2年に続けて、来年度も育休の方向です。
退職は非常勤の佐藤由利さん、常勤保育補助の久保さんが退職します。
入職は柳さんが常勤嘱託保育士として採用します。現在常勤嘱託の島田さんが正規職員になります。
来年度の収入は、現在40人の児童数から、4月当初で44人になり、公定価格の収入は若干減りますが、市の補助金は若干上がりますから、収支はトントン。
0歳と1歳児が待機が出がちですから、47人確保の可能性は十分あります。47人確保できれば、一気に800万円くらいの増収となります。
●課題は、2歳児から5歳児で転園を出さない努力をすることかと思います。
●職員配置は、とりあえず現状のままで、50人を超えても十分かと思います(行政から求められる2倍の配置をしています)。</t>
  </si>
  <si>
    <t>2022年度児童数予定</t>
  </si>
  <si>
    <t>0歳児</t>
  </si>
  <si>
    <t>公定価格44人</t>
  </si>
  <si>
    <t>利益はギリギリ200万</t>
  </si>
  <si>
    <t>1歳児</t>
  </si>
  <si>
    <t>公定価格47人</t>
  </si>
  <si>
    <t>0歳→5  1歳→10+2名として</t>
  </si>
  <si>
    <t>2歳児</t>
  </si>
  <si>
    <t>差額</t>
  </si>
  <si>
    <t>他に市の補助金含めて大体1000万近くの利益か。試算してみます。</t>
  </si>
  <si>
    <t>3歳児</t>
  </si>
  <si>
    <t>4歳児</t>
  </si>
  <si>
    <t>5歳児</t>
  </si>
  <si>
    <t>配置基準</t>
  </si>
  <si>
    <t>無理なく可能な児童数予定</t>
  </si>
  <si>
    <t>必要保育士数</t>
  </si>
  <si>
    <t>実配置保育士</t>
  </si>
  <si>
    <t>●佐藤</t>
  </si>
  <si>
    <t>●渡辺</t>
  </si>
  <si>
    <t>伊藤</t>
  </si>
  <si>
    <t>●小谷</t>
  </si>
  <si>
    <t>●篠永</t>
  </si>
  <si>
    <t>園山</t>
  </si>
  <si>
    <t>●立田</t>
  </si>
  <si>
    <t>●島田</t>
  </si>
  <si>
    <t>藤代</t>
  </si>
  <si>
    <t>1/15</t>
  </si>
  <si>
    <t>宇野</t>
  </si>
  <si>
    <t>今尾</t>
  </si>
  <si>
    <t>佐藤諒磨</t>
  </si>
  <si>
    <t>1/20</t>
  </si>
  <si>
    <t>海老原</t>
  </si>
  <si>
    <t>柳</t>
  </si>
  <si>
    <t>沼</t>
  </si>
  <si>
    <t>深町</t>
  </si>
  <si>
    <t>坂井</t>
  </si>
  <si>
    <t>園長、主任</t>
  </si>
  <si>
    <t>●林</t>
  </si>
  <si>
    <t>●アリローン</t>
  </si>
  <si>
    <t>栄養士</t>
  </si>
  <si>
    <t>●筋野</t>
  </si>
  <si>
    <t>栄養士補助</t>
  </si>
  <si>
    <t>調理</t>
  </si>
  <si>
    <t>菅井</t>
  </si>
  <si>
    <t>羽渕</t>
  </si>
  <si>
    <t>吉田</t>
  </si>
  <si>
    <t>事務</t>
  </si>
  <si>
    <t>高坂</t>
  </si>
  <si>
    <t>用務</t>
  </si>
  <si>
    <t>西坪</t>
  </si>
  <si>
    <t>事務補助</t>
  </si>
  <si>
    <t>佐久間</t>
  </si>
  <si>
    <t>は常勤職員</t>
  </si>
  <si>
    <t>＜正職員＞</t>
  </si>
  <si>
    <t>2025賃金試算</t>
  </si>
  <si>
    <t>緑の項目名は「計算式」が入っている</t>
  </si>
  <si>
    <t>水色の項目のみ修正</t>
  </si>
  <si>
    <t>船橋手当はR5年度の金額</t>
  </si>
  <si>
    <t>R7に支払う金額</t>
  </si>
  <si>
    <t>基本給
基礎値</t>
  </si>
  <si>
    <t>経験
乗数</t>
  </si>
  <si>
    <t>勤続
乗数</t>
  </si>
  <si>
    <t>名前</t>
  </si>
  <si>
    <t>経験</t>
  </si>
  <si>
    <t>経験給</t>
  </si>
  <si>
    <t>勤続</t>
  </si>
  <si>
    <t>勤続給</t>
  </si>
  <si>
    <t>基本給</t>
  </si>
  <si>
    <t>船橋手当</t>
  </si>
  <si>
    <t>国賃金改
善加算Ⅱ</t>
  </si>
  <si>
    <t>処遇改善加算Ⅲ</t>
  </si>
  <si>
    <t>役職手当</t>
  </si>
  <si>
    <t>月支給総額</t>
  </si>
  <si>
    <t>給与年額</t>
  </si>
  <si>
    <t>賞与基本給
の夏1、冬1</t>
  </si>
  <si>
    <t>賞与
船橋手当</t>
  </si>
  <si>
    <t>通勤手当
(年額）</t>
  </si>
  <si>
    <t>年間
総支給額</t>
  </si>
  <si>
    <t>中退共</t>
  </si>
  <si>
    <t>林香里</t>
  </si>
  <si>
    <t>16,8110
園長職　80,000
+国改Ⅱ代替　40,000
+船橋手代替　42,610
+国改Ⅲ代替　5,500</t>
  </si>
  <si>
    <t>筋野幸乃</t>
  </si>
  <si>
    <r>
      <rPr>
        <sz val="11"/>
        <color rgb="FFFF0000"/>
        <rFont val="ＭＳ Ｐゴシック"/>
        <family val="3"/>
        <charset val="128"/>
        <scheme val="minor"/>
      </rPr>
      <t xml:space="preserve">73,000
</t>
    </r>
    <r>
      <rPr>
        <sz val="11"/>
        <color theme="1"/>
        <rFont val="ＭＳ Ｐゴシック"/>
        <family val="3"/>
        <charset val="128"/>
        <scheme val="minor"/>
      </rPr>
      <t>副園長　40,000
国改Ⅱ代替　40,000
-国改Ⅱ調整　7,000
+国改Ⅲ代替　5,500</t>
    </r>
  </si>
  <si>
    <t>アリローン
美織</t>
  </si>
  <si>
    <r>
      <rPr>
        <sz val="11"/>
        <color rgb="FFFF0000"/>
        <rFont val="ＭＳ Ｐゴシック"/>
        <family val="3"/>
        <charset val="128"/>
        <scheme val="minor"/>
      </rPr>
      <t xml:space="preserve">60,000
</t>
    </r>
    <r>
      <rPr>
        <sz val="11"/>
        <color theme="1"/>
        <rFont val="ＭＳ Ｐゴシック"/>
        <family val="3"/>
        <charset val="128"/>
        <scheme val="minor"/>
      </rPr>
      <t>主任　20,000
国改Ⅱ代替　40,000</t>
    </r>
  </si>
  <si>
    <t>立田直子</t>
  </si>
  <si>
    <t>佐藤湖乃美</t>
  </si>
  <si>
    <t>篠永瑞希</t>
  </si>
  <si>
    <t>渡辺 佳代</t>
  </si>
  <si>
    <t>林　真衣</t>
  </si>
  <si>
    <t>＜嘱託職員＞</t>
  </si>
  <si>
    <t>2023賃金試算</t>
  </si>
  <si>
    <t>memo</t>
  </si>
  <si>
    <t>常勤/
非常勤</t>
  </si>
  <si>
    <t>基礎
時給</t>
  </si>
  <si>
    <t>勤続
単価</t>
  </si>
  <si>
    <t>月
勤務時間</t>
  </si>
  <si>
    <t>船橋手当
常勤のみ
月額</t>
  </si>
  <si>
    <t>国賃金
改善加算Ⅱ</t>
  </si>
  <si>
    <t>月支給額</t>
  </si>
  <si>
    <t>顧問報酬</t>
  </si>
  <si>
    <t>給与月額</t>
  </si>
  <si>
    <t>賞与</t>
  </si>
  <si>
    <t>通勤手当
（年額）</t>
  </si>
  <si>
    <t>常保</t>
  </si>
  <si>
    <t>宇野智香子</t>
  </si>
  <si>
    <t>海老原真由美</t>
  </si>
  <si>
    <t>深町　福子</t>
  </si>
  <si>
    <t>沼　身依子</t>
  </si>
  <si>
    <t>小谷菜穂子</t>
  </si>
  <si>
    <t>非保</t>
  </si>
  <si>
    <t>藤代明美</t>
  </si>
  <si>
    <t>坂井　紀子</t>
  </si>
  <si>
    <t>常保補</t>
  </si>
  <si>
    <t>山﨑　薫</t>
  </si>
  <si>
    <t>女屋　洋子</t>
  </si>
  <si>
    <t>看護師</t>
  </si>
  <si>
    <t>松本 亜衣</t>
  </si>
  <si>
    <t>常栄</t>
  </si>
  <si>
    <t>伊藤　裕美</t>
  </si>
  <si>
    <t>常調</t>
  </si>
  <si>
    <t>菅井　悦子</t>
  </si>
  <si>
    <t>黒川　順子</t>
  </si>
  <si>
    <t>吉田　七海</t>
  </si>
  <si>
    <t>常事</t>
  </si>
  <si>
    <t>高坂　恵美子</t>
  </si>
  <si>
    <t>西坪　光男</t>
  </si>
  <si>
    <t>非事</t>
  </si>
  <si>
    <t>佐久間　勉</t>
  </si>
  <si>
    <t>　追加用</t>
  </si>
  <si>
    <t>給与関係細則</t>
  </si>
  <si>
    <t xml:space="preserve">   </t>
  </si>
  <si>
    <t>正規職員は、中退共に法人負担で加入する。初年度から3年目までは7,000円/月、以降3年経過毎に1,000円/月の上乗せ改定</t>
  </si>
  <si>
    <t>給与総額</t>
  </si>
  <si>
    <t>正規＋嘱託</t>
  </si>
  <si>
    <t>常勤嘱託の基本給は、実際の月勤務時間×基礎時給。なお、常勤嘱託の定義は月120時間以上、かつ週5日以上の勤務職員を言う(社会保険対象)。</t>
  </si>
  <si>
    <t>賞与総額</t>
  </si>
  <si>
    <t>常勤嘱託の夏、冬の各一回あたりの賞与は、基本給の6ヶ月平均時間×1ヶ月が基本となる。また、5月採用の場合は、ひと月の基本給の6分の1の額、4月採用の場合は、ふた月の基本給の平均のの6分の2の額</t>
  </si>
  <si>
    <t>給与総額＋賞与総額</t>
  </si>
  <si>
    <t>※当保育所の常勤職員の賞与の基準期間は、夏は12月から5月の6ヶ月。冬は7月から11月の6ヶ月。</t>
  </si>
  <si>
    <t>★「処遇改善加算Ⅱ」は常勤職員が増えたため、9,300円から7,700円に変更した。</t>
  </si>
  <si>
    <t>●残業手当等は労基法に基づき試算する</t>
  </si>
  <si>
    <t>★「処遇改善加算Ⅲ」を追記（園長、看護師以外の職員に支給）</t>
  </si>
  <si>
    <t>★「処遇改善加算Ⅱ」R6は175,000円（予定）135,000円÷16名=8,500の計算となり9,300円から8,500円に変更した。</t>
  </si>
  <si>
    <t>★沼身依子保育士はR5.5から常勤職員に変更</t>
  </si>
  <si>
    <t>★伊藤裕美栄養士はR5.12から常勤職員に変更</t>
  </si>
  <si>
    <t>★吉田七海調理員はR5.12から常勤職員に変更</t>
  </si>
  <si>
    <r>
      <rPr>
        <sz val="14"/>
        <color rgb="FF000000"/>
        <rFont val="HGP創英角ｺﾞｼｯｸUB"/>
        <family val="3"/>
        <charset val="128"/>
      </rPr>
      <t>2024年度決算　&amp;　2025年度予算案</t>
    </r>
    <r>
      <rPr>
        <sz val="16"/>
        <color rgb="FF000000"/>
        <rFont val="HGP創英角ｺﾞｼｯｸUB"/>
        <family val="3"/>
        <charset val="128"/>
      </rPr>
      <t>　</t>
    </r>
    <r>
      <rPr>
        <sz val="12"/>
        <color rgb="FF000000"/>
        <rFont val="HGP創英角ｺﾞｼｯｸUB"/>
        <family val="3"/>
        <charset val="128"/>
      </rPr>
      <t>共同保育所子どもの家</t>
    </r>
  </si>
  <si>
    <t>コード</t>
  </si>
  <si>
    <t>前年比増加係数</t>
  </si>
  <si>
    <r>
      <rPr>
        <sz val="10"/>
        <color rgb="FF000000"/>
        <rFont val="Arial"/>
        <family val="2"/>
      </rPr>
      <t>2024</t>
    </r>
    <r>
      <rPr>
        <sz val="10"/>
        <color rgb="FF000000"/>
        <rFont val="ＭＳ Ｐゴシック"/>
        <family val="3"/>
        <charset val="128"/>
      </rPr>
      <t>年度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ＭＳ Ｐゴシック"/>
        <family val="3"/>
        <charset val="128"/>
      </rPr>
      <t>予算</t>
    </r>
  </si>
  <si>
    <t>2024年度
決算</t>
  </si>
  <si>
    <r>
      <rPr>
        <sz val="10"/>
        <color rgb="FF000000"/>
        <rFont val="Arial"/>
        <family val="2"/>
      </rPr>
      <t xml:space="preserve">2025
</t>
    </r>
    <r>
      <rPr>
        <sz val="10"/>
        <color rgb="FF000000"/>
        <rFont val="ＭＳ Ｐゴシック"/>
        <family val="3"/>
        <charset val="128"/>
      </rPr>
      <t>構成比</t>
    </r>
  </si>
  <si>
    <r>
      <rPr>
        <sz val="10"/>
        <color rgb="FF000000"/>
        <rFont val="Arial"/>
        <family val="2"/>
      </rPr>
      <t>2025</t>
    </r>
    <r>
      <rPr>
        <sz val="10"/>
        <color rgb="FF000000"/>
        <rFont val="ＭＳ Ｐゴシック"/>
        <family val="3"/>
        <charset val="128"/>
      </rPr>
      <t>年度</t>
    </r>
    <r>
      <rPr>
        <sz val="10"/>
        <color rgb="FF000000"/>
        <rFont val="Arial"/>
        <family val="2"/>
      </rPr>
      <t xml:space="preserve">
</t>
    </r>
    <r>
      <rPr>
        <sz val="10"/>
        <color rgb="FF000000"/>
        <rFont val="ＭＳ Ｐゴシック"/>
        <family val="3"/>
        <charset val="128"/>
      </rPr>
      <t>予算案</t>
    </r>
  </si>
  <si>
    <t>9604</t>
  </si>
  <si>
    <t>【保育事業収入】</t>
  </si>
  <si>
    <t>9949</t>
  </si>
  <si>
    <t>【委託費収入】</t>
  </si>
  <si>
    <t>4236</t>
  </si>
  <si>
    <t>委託費収入</t>
  </si>
  <si>
    <t>①</t>
  </si>
  <si>
    <t>9950</t>
  </si>
  <si>
    <t>【利用者等利用料収入】</t>
  </si>
  <si>
    <t>4239</t>
  </si>
  <si>
    <t>利用者等利用料収入(一般)</t>
  </si>
  <si>
    <t>②</t>
  </si>
  <si>
    <t>9944</t>
  </si>
  <si>
    <t>【その他の事業収入】</t>
  </si>
  <si>
    <t>4251</t>
  </si>
  <si>
    <t>補助金事業収入(公費)</t>
  </si>
  <si>
    <t>③</t>
  </si>
  <si>
    <t>9620</t>
  </si>
  <si>
    <t>【事業活動収入計】</t>
  </si>
  <si>
    <t>①+②+③=A</t>
  </si>
  <si>
    <t>人件費以外
支出前年比係数</t>
  </si>
  <si>
    <t>9631</t>
  </si>
  <si>
    <t>【人件費支出】</t>
  </si>
  <si>
    <t>④</t>
  </si>
  <si>
    <t>4601</t>
  </si>
  <si>
    <t>役員報酬支出</t>
  </si>
  <si>
    <t>4602</t>
  </si>
  <si>
    <t>職員給料支出</t>
  </si>
  <si>
    <t>4603</t>
  </si>
  <si>
    <t>職員賞与支出</t>
  </si>
  <si>
    <t>賞与引当金繰入</t>
  </si>
  <si>
    <t>4608</t>
  </si>
  <si>
    <t>法定福利費支出</t>
  </si>
  <si>
    <t>9632</t>
  </si>
  <si>
    <t>【事業費支出】</t>
  </si>
  <si>
    <t>⑤</t>
  </si>
  <si>
    <t>4701</t>
  </si>
  <si>
    <t>給食費支出</t>
  </si>
  <si>
    <t>4705</t>
  </si>
  <si>
    <t>保健衛生費支出</t>
  </si>
  <si>
    <t>4710</t>
  </si>
  <si>
    <t>保育材料費支出</t>
  </si>
  <si>
    <t>4712</t>
  </si>
  <si>
    <t>水道光熱費支出</t>
  </si>
  <si>
    <t>4714</t>
  </si>
  <si>
    <t>消耗器具備品費支出</t>
  </si>
  <si>
    <t>4715</t>
  </si>
  <si>
    <t>保険料支出</t>
  </si>
  <si>
    <t>4716</t>
  </si>
  <si>
    <t>賃借料支出</t>
  </si>
  <si>
    <t>9633</t>
  </si>
  <si>
    <t>【事務費支出】</t>
  </si>
  <si>
    <t>⑥</t>
  </si>
  <si>
    <t>4801</t>
  </si>
  <si>
    <t>福利厚生費支出</t>
  </si>
  <si>
    <t>4803</t>
  </si>
  <si>
    <t>旅費交通費支出</t>
  </si>
  <si>
    <t>4804</t>
  </si>
  <si>
    <t>研修研究費支出</t>
  </si>
  <si>
    <t>4805</t>
  </si>
  <si>
    <t>事務消耗品費支出</t>
  </si>
  <si>
    <t>4809</t>
  </si>
  <si>
    <t>修繕費支出</t>
  </si>
  <si>
    <t>4810</t>
  </si>
  <si>
    <t>通信運搬費支出</t>
  </si>
  <si>
    <t>4811</t>
  </si>
  <si>
    <t>会議費支出</t>
  </si>
  <si>
    <t>4812</t>
  </si>
  <si>
    <t>広報費支出</t>
  </si>
  <si>
    <t>4813</t>
  </si>
  <si>
    <t>業務委託費支出</t>
  </si>
  <si>
    <t>4814</t>
  </si>
  <si>
    <t>手数料支出</t>
  </si>
  <si>
    <t>4815</t>
  </si>
  <si>
    <t>4816</t>
  </si>
  <si>
    <t>4817</t>
  </si>
  <si>
    <t>土地・建物賃借料支出</t>
  </si>
  <si>
    <t>4818</t>
  </si>
  <si>
    <t>租税公課支出</t>
  </si>
  <si>
    <t>4819</t>
  </si>
  <si>
    <t>保守料支出</t>
  </si>
  <si>
    <t>4821</t>
  </si>
  <si>
    <t>諸会費支出</t>
  </si>
  <si>
    <t>4829</t>
  </si>
  <si>
    <t>雑支出</t>
  </si>
  <si>
    <t>9638</t>
  </si>
  <si>
    <t>【減価償却費】</t>
  </si>
  <si>
    <t>⑦</t>
  </si>
  <si>
    <t>4921</t>
  </si>
  <si>
    <t>減価償却費</t>
  </si>
  <si>
    <t>9649</t>
  </si>
  <si>
    <t>【事業活動支出計】</t>
  </si>
  <si>
    <t>④+⑤+⑥+⑦=B</t>
  </si>
  <si>
    <t>9650</t>
  </si>
  <si>
    <t>【事業活動資金収支差額】</t>
  </si>
  <si>
    <t>A-B</t>
  </si>
  <si>
    <t>【受取利息配当金収益】</t>
  </si>
  <si>
    <t>受取利息配当金収益</t>
  </si>
  <si>
    <t>事業活動外増減差額</t>
  </si>
  <si>
    <t>収入および支出の人件費以外は、前年比増加係数は単純に53人の児童数が54人になった増加率</t>
  </si>
  <si>
    <t>人件費　職員給料は今年度2か月分の平均値に12を乗した。賞与は3か月</t>
  </si>
  <si>
    <t>当月迄累計</t>
  </si>
  <si>
    <t>金    額</t>
  </si>
  <si>
    <t>9804</t>
  </si>
  <si>
    <t>19949</t>
  </si>
  <si>
    <t>【委託費収益】</t>
  </si>
  <si>
    <t>6236</t>
  </si>
  <si>
    <t>委託費収益</t>
  </si>
  <si>
    <t>19950</t>
  </si>
  <si>
    <t>【利用者等利用料収益】</t>
  </si>
  <si>
    <t>6239</t>
  </si>
  <si>
    <t>利用者等利用料収益(一般)</t>
  </si>
  <si>
    <t>19944</t>
  </si>
  <si>
    <t>6251</t>
  </si>
  <si>
    <t>9820</t>
  </si>
  <si>
    <t>9831</t>
  </si>
  <si>
    <t>6601</t>
  </si>
  <si>
    <t>役員報酬</t>
  </si>
  <si>
    <t>6602</t>
  </si>
  <si>
    <t>6603</t>
  </si>
  <si>
    <t>6607</t>
  </si>
  <si>
    <t>退職給付費用</t>
  </si>
  <si>
    <t>6608</t>
  </si>
  <si>
    <t>9832</t>
  </si>
  <si>
    <t>6701</t>
  </si>
  <si>
    <t>6705</t>
  </si>
  <si>
    <t>6710</t>
  </si>
  <si>
    <t>6712</t>
  </si>
  <si>
    <t>6714</t>
  </si>
  <si>
    <t>6715</t>
  </si>
  <si>
    <t>6716</t>
  </si>
  <si>
    <t>9833</t>
  </si>
  <si>
    <t>6801</t>
  </si>
  <si>
    <t>6803</t>
  </si>
  <si>
    <t>6804</t>
  </si>
  <si>
    <t>6805</t>
  </si>
  <si>
    <t>6809</t>
  </si>
  <si>
    <t>修繕費</t>
  </si>
  <si>
    <t>6810</t>
  </si>
  <si>
    <t>6811</t>
  </si>
  <si>
    <t>会議費</t>
  </si>
  <si>
    <t>6812</t>
  </si>
  <si>
    <t>6813</t>
  </si>
  <si>
    <t>6814</t>
  </si>
  <si>
    <t>6815</t>
  </si>
  <si>
    <t>6816</t>
  </si>
  <si>
    <t>6817</t>
  </si>
  <si>
    <t>6818</t>
  </si>
  <si>
    <t>6819</t>
  </si>
  <si>
    <t>6821</t>
  </si>
  <si>
    <t>6829</t>
  </si>
  <si>
    <t>9838</t>
  </si>
  <si>
    <t>6951</t>
  </si>
  <si>
    <t>9849</t>
  </si>
  <si>
    <t>9850</t>
  </si>
  <si>
    <t>9852</t>
  </si>
  <si>
    <t>6481</t>
  </si>
  <si>
    <t>9860</t>
  </si>
  <si>
    <t>9861</t>
  </si>
  <si>
    <t>6921</t>
  </si>
  <si>
    <t>9868</t>
  </si>
  <si>
    <t>9869</t>
  </si>
  <si>
    <t>9870</t>
  </si>
  <si>
    <t>9877</t>
  </si>
  <si>
    <t>【拠点区分間繰入金収益】</t>
  </si>
  <si>
    <t>7401</t>
  </si>
  <si>
    <t>拠点区分間繰入金収益</t>
  </si>
  <si>
    <t>9882</t>
  </si>
  <si>
    <t>【特別収益計】</t>
  </si>
  <si>
    <t>9893</t>
  </si>
  <si>
    <t>【拠点区分間繰入金費用】</t>
  </si>
  <si>
    <t>7591</t>
  </si>
  <si>
    <t>拠点区分間繰入金費用</t>
  </si>
  <si>
    <t>9899</t>
  </si>
  <si>
    <t>【特別費用計】</t>
  </si>
  <si>
    <t>9900</t>
  </si>
  <si>
    <t>【特別増減差額】</t>
  </si>
  <si>
    <t>9901</t>
  </si>
  <si>
    <t>9902</t>
  </si>
  <si>
    <t>7641</t>
  </si>
  <si>
    <t>9904</t>
  </si>
  <si>
    <t>9910</t>
  </si>
  <si>
    <t>2025年度予算</t>
  </si>
  <si>
    <t>2025-1月実績</t>
  </si>
  <si>
    <t>2026-1月実績</t>
  </si>
  <si>
    <t>26年度試算率</t>
  </si>
  <si>
    <t>26年度試算値</t>
  </si>
  <si>
    <t>受取利息配当金収入</t>
  </si>
  <si>
    <t>水光熱費支出</t>
  </si>
  <si>
    <t>2026見込み</t>
    <rPh sb="4" eb="6">
      <t>ミコ</t>
    </rPh>
    <phoneticPr fontId="34"/>
  </si>
  <si>
    <t>2026年度予算</t>
    <rPh sb="4" eb="6">
      <t>ネンド</t>
    </rPh>
    <rPh sb="6" eb="8">
      <t>ヨサン</t>
    </rPh>
    <phoneticPr fontId="34"/>
  </si>
  <si>
    <t>3か月分</t>
    <rPh sb="2" eb="4">
      <t>ゲツブン</t>
    </rPh>
    <phoneticPr fontId="34"/>
  </si>
  <si>
    <t>労災上乗せ保険</t>
    <rPh sb="0" eb="2">
      <t>ロウサイ</t>
    </rPh>
    <rPh sb="2" eb="4">
      <t>ウワノ</t>
    </rPh>
    <rPh sb="5" eb="7">
      <t>ホケン</t>
    </rPh>
    <phoneticPr fontId="34"/>
  </si>
  <si>
    <t>10%増加</t>
    <rPh sb="3" eb="5">
      <t>ゾウカ</t>
    </rPh>
    <phoneticPr fontId="34"/>
  </si>
  <si>
    <t>２５年ピッチ購入176K</t>
    <rPh sb="2" eb="3">
      <t>ネン</t>
    </rPh>
    <rPh sb="6" eb="8">
      <t>コウニュウ</t>
    </rPh>
    <phoneticPr fontId="34"/>
  </si>
  <si>
    <t>利子増加分５アップ%</t>
    <rPh sb="0" eb="5">
      <t>リシゾウカブン</t>
    </rPh>
    <phoneticPr fontId="34"/>
  </si>
  <si>
    <t>人事院勧告の９月支給分を引当金繰り入れとして計上</t>
    <rPh sb="0" eb="5">
      <t>ジンジインカンコク</t>
    </rPh>
    <rPh sb="7" eb="8">
      <t>ガツ</t>
    </rPh>
    <rPh sb="8" eb="10">
      <t>シキュウ</t>
    </rPh>
    <rPh sb="10" eb="11">
      <t>ブン</t>
    </rPh>
    <rPh sb="12" eb="16">
      <t>ヒキアテキンク</t>
    </rPh>
    <rPh sb="17" eb="18">
      <t>イ</t>
    </rPh>
    <rPh sb="22" eb="24">
      <t>ケイジョウ</t>
    </rPh>
    <phoneticPr fontId="34"/>
  </si>
  <si>
    <t>コゼット分アップ</t>
    <rPh sb="4" eb="5">
      <t>ブン</t>
    </rPh>
    <phoneticPr fontId="34"/>
  </si>
  <si>
    <t>２０２６年度予算資料</t>
    <rPh sb="4" eb="10">
      <t>ネンドヨサンシリョウ</t>
    </rPh>
    <phoneticPr fontId="34"/>
  </si>
  <si>
    <t>作成日</t>
    <rPh sb="0" eb="3">
      <t>サクセイビ</t>
    </rPh>
    <phoneticPr fontId="34"/>
  </si>
  <si>
    <t>更新日</t>
    <rPh sb="0" eb="3">
      <t>コウシンビ</t>
    </rPh>
    <phoneticPr fontId="34"/>
  </si>
  <si>
    <t>事務消耗品費支出</t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</si>
</sst>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##,###,###;&quot;△&quot;###,###,###;;&quot;&quot;"/>
    <numFmt numFmtId="177" formatCode="_ * #,##0_ ;_ * \-#,##0_ ;_ * &quot;-&quot;??_ ;_ @_ "/>
    <numFmt numFmtId="178" formatCode="0.000"/>
    <numFmt numFmtId="179" formatCode="#,###,###,###,###;&quot;△&quot;#,###,###,###,###;&quot;&quot;"/>
    <numFmt numFmtId="180" formatCode="0.0%"/>
    <numFmt numFmtId="181" formatCode="#,##0_ ;[Red]\-#,##0\ "/>
    <numFmt numFmtId="182" formatCode="#,##0;&quot;▲ &quot;#,##0"/>
    <numFmt numFmtId="183" formatCode="#,##0.0;[Red]\-#,##0.0"/>
    <numFmt numFmtId="184" formatCode="_ * #,##0.0_ ;_ * \-#,##0.0_ ;_ * &quot;-&quot;??.0_ ;_ @_ "/>
    <numFmt numFmtId="185" formatCode="0.00_ "/>
    <numFmt numFmtId="186" formatCode="[$-F800]dddd\,\ mmmm\ dd\,\ yyyy"/>
  </numFmts>
  <fonts count="49">
    <font>
      <sz val="11"/>
      <color theme="1"/>
      <name val="ＭＳ Ｐゴシック"/>
      <charset val="128"/>
      <scheme val="minor"/>
    </font>
    <font>
      <sz val="10"/>
      <color rgb="FF000000"/>
      <name val="Arial"/>
      <family val="2"/>
    </font>
    <font>
      <sz val="16"/>
      <color rgb="FF000000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0"/>
      <name val="MS Mincho"/>
      <charset val="134"/>
    </font>
    <font>
      <sz val="10"/>
      <color rgb="FF000000"/>
      <name val="ＭＳ Ｐゴシック"/>
      <family val="3"/>
      <charset val="128"/>
    </font>
    <font>
      <sz val="11"/>
      <name val="MS Mincho"/>
      <charset val="134"/>
    </font>
    <font>
      <sz val="10"/>
      <color rgb="FF000000"/>
      <name val="ＭＳ Ｐゴシック"/>
      <family val="3"/>
      <charset val="128"/>
    </font>
    <font>
      <sz val="8.5"/>
      <name val="MS Mincho"/>
      <charset val="134"/>
    </font>
    <font>
      <sz val="8"/>
      <name val="MS Mincho"/>
      <charset val="134"/>
    </font>
    <font>
      <sz val="9.5"/>
      <name val="MS Mincho"/>
      <charset val="134"/>
    </font>
    <font>
      <sz val="9"/>
      <color rgb="FF000000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000000"/>
      <name val="游ゴシック"/>
      <family val="3"/>
      <charset val="128"/>
    </font>
    <font>
      <sz val="7.5"/>
      <name val="MS Mincho"/>
      <charset val="134"/>
    </font>
    <font>
      <sz val="9"/>
      <name val="MS Mincho"/>
      <charset val="134"/>
    </font>
    <font>
      <sz val="10"/>
      <color rgb="FFFF0000"/>
      <name val="MS Mincho"/>
      <charset val="134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i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.5"/>
      <color theme="1"/>
      <name val="宋体"/>
    </font>
    <font>
      <sz val="11"/>
      <color theme="1"/>
      <name val="ＭＳ Ｐゴシック"/>
      <family val="3"/>
      <charset val="128"/>
      <scheme val="minor"/>
    </font>
    <font>
      <sz val="14"/>
      <color rgb="FF000000"/>
      <name val="HGP創英角ｺﾞｼｯｸUB"/>
      <family val="3"/>
      <charset val="128"/>
    </font>
    <font>
      <sz val="12"/>
      <color rgb="FF000000"/>
      <name val="HGP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.5"/>
      <name val="MS Mincho"/>
      <charset val="128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10.5"/>
      <color indexed="10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33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66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38" fontId="0" fillId="0" borderId="1" xfId="0" applyNumberFormat="1" applyBorder="1">
      <alignment vertical="center"/>
    </xf>
    <xf numFmtId="0" fontId="1" fillId="0" borderId="0" xfId="0" applyFont="1">
      <alignment vertical="center"/>
    </xf>
    <xf numFmtId="177" fontId="1" fillId="0" borderId="0" xfId="2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4" fontId="3" fillId="0" borderId="0" xfId="0" applyNumberFormat="1" applyFont="1">
      <alignment vertical="center"/>
    </xf>
    <xf numFmtId="49" fontId="4" fillId="0" borderId="2" xfId="0" applyNumberFormat="1" applyFont="1" applyBorder="1" applyAlignment="1">
      <alignment horizontal="center" vertical="center"/>
    </xf>
    <xf numFmtId="177" fontId="5" fillId="0" borderId="0" xfId="2" applyFont="1">
      <alignment vertical="center"/>
    </xf>
    <xf numFmtId="178" fontId="1" fillId="0" borderId="0" xfId="0" applyNumberFormat="1" applyFo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7" fontId="1" fillId="2" borderId="6" xfId="2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justify"/>
    </xf>
    <xf numFmtId="3" fontId="1" fillId="5" borderId="1" xfId="0" applyNumberFormat="1" applyFont="1" applyFill="1" applyBorder="1">
      <alignment vertical="center"/>
    </xf>
    <xf numFmtId="179" fontId="6" fillId="5" borderId="1" xfId="0" applyNumberFormat="1" applyFont="1" applyFill="1" applyBorder="1" applyAlignment="1">
      <alignment horizontal="right" vertical="center"/>
    </xf>
    <xf numFmtId="180" fontId="1" fillId="0" borderId="1" xfId="3" applyNumberFormat="1" applyFont="1" applyBorder="1">
      <alignment vertical="center"/>
    </xf>
    <xf numFmtId="38" fontId="1" fillId="0" borderId="1" xfId="1" applyFont="1" applyBorder="1">
      <alignment vertical="center"/>
    </xf>
    <xf numFmtId="177" fontId="1" fillId="0" borderId="1" xfId="2" applyFont="1" applyBorder="1">
      <alignment vertical="center"/>
    </xf>
    <xf numFmtId="180" fontId="1" fillId="0" borderId="1" xfId="3" applyNumberFormat="1" applyFont="1" applyFill="1" applyBorder="1" applyAlignment="1" applyProtection="1">
      <alignment vertical="center"/>
    </xf>
    <xf numFmtId="0" fontId="7" fillId="0" borderId="0" xfId="0" applyFont="1">
      <alignment vertical="center"/>
    </xf>
    <xf numFmtId="49" fontId="8" fillId="0" borderId="1" xfId="0" applyNumberFormat="1" applyFont="1" applyBorder="1" applyAlignment="1">
      <alignment horizontal="justify"/>
    </xf>
    <xf numFmtId="49" fontId="9" fillId="0" borderId="1" xfId="0" applyNumberFormat="1" applyFont="1" applyBorder="1" applyAlignment="1">
      <alignment horizontal="justify"/>
    </xf>
    <xf numFmtId="49" fontId="10" fillId="0" borderId="1" xfId="0" applyNumberFormat="1" applyFont="1" applyBorder="1" applyAlignment="1">
      <alignment horizontal="justify"/>
    </xf>
    <xf numFmtId="38" fontId="1" fillId="0" borderId="0" xfId="1" applyFont="1">
      <alignment vertical="center"/>
    </xf>
    <xf numFmtId="49" fontId="4" fillId="2" borderId="1" xfId="0" applyNumberFormat="1" applyFont="1" applyFill="1" applyBorder="1" applyAlignment="1">
      <alignment horizontal="justify"/>
    </xf>
    <xf numFmtId="3" fontId="1" fillId="2" borderId="1" xfId="0" applyNumberFormat="1" applyFont="1" applyFill="1" applyBorder="1">
      <alignment vertical="center"/>
    </xf>
    <xf numFmtId="179" fontId="6" fillId="2" borderId="1" xfId="0" applyNumberFormat="1" applyFont="1" applyFill="1" applyBorder="1" applyAlignment="1">
      <alignment horizontal="right" vertical="center"/>
    </xf>
    <xf numFmtId="180" fontId="1" fillId="2" borderId="1" xfId="3" applyNumberFormat="1" applyFont="1" applyFill="1" applyBorder="1">
      <alignment vertical="center"/>
    </xf>
    <xf numFmtId="38" fontId="1" fillId="2" borderId="1" xfId="1" applyFont="1" applyFill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justify"/>
    </xf>
    <xf numFmtId="0" fontId="4" fillId="5" borderId="1" xfId="0" applyFont="1" applyFill="1" applyBorder="1" applyAlignment="1">
      <alignment horizontal="justify"/>
    </xf>
    <xf numFmtId="0" fontId="6" fillId="0" borderId="1" xfId="0" applyFont="1" applyBorder="1" applyAlignment="1">
      <alignment horizontal="right" vertical="center"/>
    </xf>
    <xf numFmtId="9" fontId="1" fillId="0" borderId="1" xfId="3" applyFont="1" applyBorder="1">
      <alignment vertical="center"/>
    </xf>
    <xf numFmtId="177" fontId="11" fillId="0" borderId="1" xfId="2" applyFont="1" applyBorder="1" applyAlignment="1">
      <alignment vertical="center" wrapText="1"/>
    </xf>
    <xf numFmtId="9" fontId="1" fillId="0" borderId="0" xfId="0" applyNumberFormat="1" applyFont="1">
      <alignment vertical="center"/>
    </xf>
    <xf numFmtId="49" fontId="4" fillId="4" borderId="1" xfId="0" applyNumberFormat="1" applyFont="1" applyFill="1" applyBorder="1" applyAlignment="1">
      <alignment horizontal="justify"/>
    </xf>
    <xf numFmtId="3" fontId="1" fillId="4" borderId="1" xfId="0" applyNumberFormat="1" applyFont="1" applyFill="1" applyBorder="1">
      <alignment vertical="center"/>
    </xf>
    <xf numFmtId="180" fontId="1" fillId="4" borderId="1" xfId="3" applyNumberFormat="1" applyFont="1" applyFill="1" applyBorder="1">
      <alignment vertical="center"/>
    </xf>
    <xf numFmtId="38" fontId="1" fillId="4" borderId="1" xfId="1" applyFont="1" applyFill="1" applyBorder="1">
      <alignment vertical="center"/>
    </xf>
    <xf numFmtId="3" fontId="1" fillId="0" borderId="1" xfId="0" applyNumberFormat="1" applyFont="1" applyBorder="1">
      <alignment vertical="center"/>
    </xf>
    <xf numFmtId="0" fontId="12" fillId="0" borderId="0" xfId="0" applyFont="1">
      <alignment vertical="center"/>
    </xf>
    <xf numFmtId="49" fontId="4" fillId="5" borderId="1" xfId="0" applyNumberFormat="1" applyFont="1" applyFill="1" applyBorder="1" applyAlignment="1">
      <alignment horizontal="justify"/>
    </xf>
    <xf numFmtId="0" fontId="1" fillId="0" borderId="1" xfId="0" applyFont="1" applyBorder="1">
      <alignment vertical="center"/>
    </xf>
    <xf numFmtId="0" fontId="5" fillId="0" borderId="0" xfId="0" applyFont="1">
      <alignment vertical="center"/>
    </xf>
    <xf numFmtId="180" fontId="1" fillId="5" borderId="1" xfId="3" applyNumberFormat="1" applyFont="1" applyFill="1" applyBorder="1">
      <alignment vertical="center"/>
    </xf>
    <xf numFmtId="177" fontId="4" fillId="5" borderId="1" xfId="2" applyFont="1" applyFill="1" applyBorder="1" applyAlignment="1">
      <alignment horizontal="right" vertical="center"/>
    </xf>
    <xf numFmtId="3" fontId="5" fillId="0" borderId="1" xfId="0" applyNumberFormat="1" applyFont="1" applyBorder="1">
      <alignment vertical="center"/>
    </xf>
    <xf numFmtId="3" fontId="5" fillId="2" borderId="1" xfId="0" applyNumberFormat="1" applyFont="1" applyFill="1" applyBorder="1">
      <alignment vertical="center"/>
    </xf>
    <xf numFmtId="0" fontId="1" fillId="2" borderId="1" xfId="0" applyFont="1" applyFill="1" applyBorder="1">
      <alignment vertical="center"/>
    </xf>
    <xf numFmtId="179" fontId="1" fillId="2" borderId="1" xfId="0" applyNumberFormat="1" applyFont="1" applyFill="1" applyBorder="1">
      <alignment vertical="center"/>
    </xf>
    <xf numFmtId="3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3" fontId="13" fillId="2" borderId="0" xfId="0" applyNumberFormat="1" applyFont="1" applyFill="1">
      <alignment vertical="center"/>
    </xf>
    <xf numFmtId="3" fontId="1" fillId="2" borderId="0" xfId="0" applyNumberFormat="1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justify"/>
    </xf>
    <xf numFmtId="0" fontId="14" fillId="0" borderId="0" xfId="0" applyFont="1" applyAlignment="1">
      <alignment horizontal="right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justify"/>
    </xf>
    <xf numFmtId="179" fontId="14" fillId="6" borderId="2" xfId="0" applyNumberFormat="1" applyFont="1" applyFill="1" applyBorder="1" applyAlignment="1">
      <alignment horizontal="right" vertical="center"/>
    </xf>
    <xf numFmtId="49" fontId="15" fillId="0" borderId="2" xfId="0" applyNumberFormat="1" applyFont="1" applyBorder="1" applyAlignment="1">
      <alignment horizontal="right" vertical="center"/>
    </xf>
    <xf numFmtId="179" fontId="15" fillId="6" borderId="2" xfId="0" applyNumberFormat="1" applyFont="1" applyFill="1" applyBorder="1" applyAlignment="1">
      <alignment horizontal="right" vertical="center"/>
    </xf>
    <xf numFmtId="179" fontId="15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justify"/>
    </xf>
    <xf numFmtId="179" fontId="4" fillId="6" borderId="2" xfId="0" applyNumberFormat="1" applyFont="1" applyFill="1" applyBorder="1" applyAlignment="1">
      <alignment horizontal="right" vertical="center"/>
    </xf>
    <xf numFmtId="49" fontId="9" fillId="0" borderId="2" xfId="0" applyNumberFormat="1" applyFont="1" applyBorder="1" applyAlignment="1">
      <alignment horizontal="justify"/>
    </xf>
    <xf numFmtId="179" fontId="4" fillId="0" borderId="2" xfId="0" applyNumberFormat="1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justify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justify"/>
    </xf>
    <xf numFmtId="49" fontId="14" fillId="0" borderId="2" xfId="0" applyNumberFormat="1" applyFont="1" applyBorder="1" applyAlignment="1">
      <alignment horizontal="justify"/>
    </xf>
    <xf numFmtId="179" fontId="16" fillId="6" borderId="2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right" vertical="center"/>
    </xf>
    <xf numFmtId="179" fontId="4" fillId="7" borderId="2" xfId="0" applyNumberFormat="1" applyFont="1" applyFill="1" applyBorder="1" applyAlignment="1">
      <alignment horizontal="right" vertical="center"/>
    </xf>
    <xf numFmtId="179" fontId="15" fillId="7" borderId="2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0" fillId="8" borderId="0" xfId="0" applyFill="1">
      <alignment vertical="center"/>
    </xf>
    <xf numFmtId="0" fontId="17" fillId="0" borderId="0" xfId="0" applyFont="1">
      <alignment vertical="center"/>
    </xf>
    <xf numFmtId="38" fontId="0" fillId="0" borderId="0" xfId="1" applyFont="1">
      <alignment vertical="center"/>
    </xf>
    <xf numFmtId="0" fontId="18" fillId="9" borderId="0" xfId="0" applyFont="1" applyFill="1">
      <alignment vertical="center"/>
    </xf>
    <xf numFmtId="0" fontId="19" fillId="0" borderId="0" xfId="0" applyFont="1">
      <alignment vertical="center"/>
    </xf>
    <xf numFmtId="0" fontId="18" fillId="10" borderId="0" xfId="0" applyFont="1" applyFill="1">
      <alignment vertical="center"/>
    </xf>
    <xf numFmtId="0" fontId="20" fillId="11" borderId="1" xfId="0" applyFont="1" applyFill="1" applyBorder="1" applyAlignment="1" applyProtection="1">
      <alignment horizontal="center" vertical="center" wrapText="1"/>
      <protection locked="0"/>
    </xf>
    <xf numFmtId="0" fontId="20" fillId="11" borderId="1" xfId="0" applyFont="1" applyFill="1" applyBorder="1" applyAlignment="1" applyProtection="1">
      <alignment horizontal="center" vertical="center"/>
      <protection locked="0"/>
    </xf>
    <xf numFmtId="0" fontId="20" fillId="10" borderId="1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181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181" fontId="0" fillId="12" borderId="1" xfId="0" applyNumberFormat="1" applyFill="1" applyBorder="1">
      <alignment vertical="center"/>
    </xf>
    <xf numFmtId="0" fontId="22" fillId="0" borderId="1" xfId="0" applyFont="1" applyBorder="1">
      <alignment vertical="center"/>
    </xf>
    <xf numFmtId="181" fontId="23" fillId="0" borderId="1" xfId="0" applyNumberFormat="1" applyFont="1" applyBorder="1">
      <alignment vertical="center"/>
    </xf>
    <xf numFmtId="181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0" fillId="11" borderId="1" xfId="0" applyFont="1" applyFill="1" applyBorder="1">
      <alignment vertical="center"/>
    </xf>
    <xf numFmtId="0" fontId="20" fillId="11" borderId="1" xfId="0" applyFont="1" applyFill="1" applyBorder="1" applyAlignment="1">
      <alignment vertical="center" wrapText="1"/>
    </xf>
    <xf numFmtId="0" fontId="20" fillId="10" borderId="1" xfId="0" applyFont="1" applyFill="1" applyBorder="1" applyAlignment="1">
      <alignment vertical="center" wrapText="1"/>
    </xf>
    <xf numFmtId="0" fontId="20" fillId="10" borderId="1" xfId="0" applyFont="1" applyFill="1" applyBorder="1">
      <alignment vertical="center"/>
    </xf>
    <xf numFmtId="0" fontId="20" fillId="9" borderId="1" xfId="0" applyFont="1" applyFill="1" applyBorder="1">
      <alignment vertical="center"/>
    </xf>
    <xf numFmtId="0" fontId="0" fillId="5" borderId="1" xfId="0" applyFill="1" applyBorder="1">
      <alignment vertical="center"/>
    </xf>
    <xf numFmtId="182" fontId="22" fillId="0" borderId="1" xfId="0" applyNumberFormat="1" applyFont="1" applyBorder="1">
      <alignment vertical="center"/>
    </xf>
    <xf numFmtId="182" fontId="0" fillId="0" borderId="1" xfId="0" applyNumberFormat="1" applyBorder="1">
      <alignment vertical="center"/>
    </xf>
    <xf numFmtId="182" fontId="22" fillId="5" borderId="1" xfId="0" applyNumberFormat="1" applyFont="1" applyFill="1" applyBorder="1">
      <alignment vertical="center"/>
    </xf>
    <xf numFmtId="182" fontId="0" fillId="5" borderId="1" xfId="0" applyNumberFormat="1" applyFill="1" applyBorder="1">
      <alignment vertical="center"/>
    </xf>
    <xf numFmtId="38" fontId="0" fillId="2" borderId="1" xfId="1" applyFont="1" applyFill="1" applyBorder="1">
      <alignment vertical="center"/>
    </xf>
    <xf numFmtId="0" fontId="0" fillId="2" borderId="1" xfId="0" applyFill="1" applyBorder="1">
      <alignment vertical="center"/>
    </xf>
    <xf numFmtId="182" fontId="0" fillId="2" borderId="1" xfId="1" applyNumberFormat="1" applyFont="1" applyFill="1" applyBorder="1">
      <alignment vertical="center"/>
    </xf>
    <xf numFmtId="182" fontId="0" fillId="2" borderId="1" xfId="0" applyNumberFormat="1" applyFill="1" applyBorder="1">
      <alignment vertical="center"/>
    </xf>
    <xf numFmtId="182" fontId="0" fillId="4" borderId="1" xfId="0" applyNumberFormat="1" applyFill="1" applyBorder="1">
      <alignment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38" fontId="17" fillId="0" borderId="0" xfId="1" applyFont="1" applyFill="1">
      <alignment vertical="center"/>
    </xf>
    <xf numFmtId="38" fontId="25" fillId="0" borderId="0" xfId="1" applyFont="1" applyFill="1" applyBorder="1">
      <alignment vertical="center"/>
    </xf>
    <xf numFmtId="38" fontId="17" fillId="0" borderId="0" xfId="1" applyFont="1">
      <alignment vertical="center"/>
    </xf>
    <xf numFmtId="0" fontId="26" fillId="0" borderId="0" xfId="0" applyFont="1">
      <alignment vertical="center"/>
    </xf>
    <xf numFmtId="38" fontId="20" fillId="11" borderId="1" xfId="1" applyFont="1" applyFill="1" applyBorder="1" applyAlignment="1">
      <alignment horizontal="center" vertical="center"/>
    </xf>
    <xf numFmtId="38" fontId="20" fillId="11" borderId="1" xfId="1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77" fontId="0" fillId="0" borderId="1" xfId="2" applyFont="1" applyBorder="1" applyAlignment="1">
      <alignment horizontal="center" vertical="top" wrapText="1"/>
    </xf>
    <xf numFmtId="38" fontId="22" fillId="0" borderId="1" xfId="1" applyFont="1" applyBorder="1">
      <alignment vertical="center"/>
    </xf>
    <xf numFmtId="3" fontId="0" fillId="0" borderId="1" xfId="0" applyNumberFormat="1" applyBorder="1" applyAlignment="1">
      <alignment vertical="center" wrapText="1"/>
    </xf>
    <xf numFmtId="0" fontId="22" fillId="0" borderId="1" xfId="0" applyFont="1" applyBorder="1" applyAlignment="1">
      <alignment vertical="top" wrapText="1"/>
    </xf>
    <xf numFmtId="181" fontId="0" fillId="0" borderId="1" xfId="1" applyNumberFormat="1" applyFont="1" applyBorder="1">
      <alignment vertical="center"/>
    </xf>
    <xf numFmtId="181" fontId="0" fillId="0" borderId="1" xfId="0" applyNumberFormat="1" applyBorder="1" applyAlignment="1">
      <alignment vertical="center" wrapText="1"/>
    </xf>
    <xf numFmtId="181" fontId="22" fillId="0" borderId="1" xfId="0" applyNumberFormat="1" applyFont="1" applyBorder="1" applyAlignment="1">
      <alignment vertical="top" wrapText="1"/>
    </xf>
    <xf numFmtId="177" fontId="0" fillId="0" borderId="1" xfId="2" applyFont="1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20" fillId="11" borderId="1" xfId="1" applyFont="1" applyFill="1" applyBorder="1" applyAlignment="1">
      <alignment vertical="center" wrapText="1"/>
    </xf>
    <xf numFmtId="182" fontId="0" fillId="0" borderId="1" xfId="1" applyNumberFormat="1" applyFont="1" applyBorder="1">
      <alignment vertical="center"/>
    </xf>
    <xf numFmtId="38" fontId="22" fillId="5" borderId="1" xfId="1" applyFont="1" applyFill="1" applyBorder="1">
      <alignment vertical="center"/>
    </xf>
    <xf numFmtId="38" fontId="0" fillId="5" borderId="1" xfId="1" applyFont="1" applyFill="1" applyBorder="1">
      <alignment vertical="center"/>
    </xf>
    <xf numFmtId="182" fontId="0" fillId="5" borderId="1" xfId="1" applyNumberFormat="1" applyFont="1" applyFill="1" applyBorder="1">
      <alignment vertical="center"/>
    </xf>
    <xf numFmtId="182" fontId="0" fillId="0" borderId="1" xfId="1" applyNumberFormat="1" applyFont="1" applyFill="1" applyBorder="1">
      <alignment vertical="center"/>
    </xf>
    <xf numFmtId="38" fontId="0" fillId="0" borderId="0" xfId="1" applyFont="1" applyFill="1">
      <alignment vertical="center"/>
    </xf>
    <xf numFmtId="183" fontId="0" fillId="0" borderId="0" xfId="1" applyNumberFormat="1" applyFont="1">
      <alignment vertical="center"/>
    </xf>
    <xf numFmtId="14" fontId="0" fillId="0" borderId="0" xfId="0" applyNumberFormat="1">
      <alignment vertical="center"/>
    </xf>
    <xf numFmtId="14" fontId="17" fillId="0" borderId="0" xfId="0" applyNumberFormat="1" applyFont="1">
      <alignment vertical="center"/>
    </xf>
    <xf numFmtId="0" fontId="20" fillId="9" borderId="1" xfId="0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/>
    </xf>
    <xf numFmtId="3" fontId="22" fillId="0" borderId="1" xfId="0" applyNumberFormat="1" applyFont="1" applyBorder="1">
      <alignment vertical="center"/>
    </xf>
    <xf numFmtId="0" fontId="27" fillId="0" borderId="0" xfId="0" applyFont="1">
      <alignment vertical="center"/>
    </xf>
    <xf numFmtId="181" fontId="22" fillId="0" borderId="0" xfId="0" applyNumberFormat="1" applyFont="1">
      <alignment vertical="center"/>
    </xf>
    <xf numFmtId="181" fontId="0" fillId="4" borderId="1" xfId="1" applyNumberFormat="1" applyFont="1" applyFill="1" applyBorder="1">
      <alignment vertical="center"/>
    </xf>
    <xf numFmtId="0" fontId="23" fillId="0" borderId="0" xfId="0" applyFont="1">
      <alignment vertical="center"/>
    </xf>
    <xf numFmtId="14" fontId="0" fillId="0" borderId="9" xfId="0" applyNumberFormat="1" applyBorder="1">
      <alignment vertical="center"/>
    </xf>
    <xf numFmtId="0" fontId="20" fillId="9" borderId="10" xfId="0" applyFont="1" applyFill="1" applyBorder="1" applyAlignment="1">
      <alignment vertical="center" wrapText="1"/>
    </xf>
    <xf numFmtId="177" fontId="0" fillId="2" borderId="1" xfId="2" applyFont="1" applyFill="1" applyBorder="1">
      <alignment vertical="center"/>
    </xf>
    <xf numFmtId="177" fontId="0" fillId="0" borderId="0" xfId="2" applyFont="1">
      <alignment vertical="center"/>
    </xf>
    <xf numFmtId="0" fontId="0" fillId="2" borderId="0" xfId="0" applyFill="1">
      <alignment vertical="center"/>
    </xf>
    <xf numFmtId="0" fontId="27" fillId="0" borderId="1" xfId="0" applyFont="1" applyBorder="1">
      <alignment vertical="center"/>
    </xf>
    <xf numFmtId="0" fontId="0" fillId="14" borderId="1" xfId="0" applyFill="1" applyBorder="1">
      <alignment vertical="center"/>
    </xf>
    <xf numFmtId="3" fontId="0" fillId="14" borderId="1" xfId="0" applyNumberFormat="1" applyFill="1" applyBorder="1">
      <alignment vertical="center"/>
    </xf>
    <xf numFmtId="0" fontId="28" fillId="0" borderId="1" xfId="0" applyFont="1" applyBorder="1">
      <alignment vertical="center"/>
    </xf>
    <xf numFmtId="3" fontId="0" fillId="4" borderId="1" xfId="0" applyNumberFormat="1" applyFill="1" applyBorder="1">
      <alignment vertical="center"/>
    </xf>
    <xf numFmtId="0" fontId="0" fillId="4" borderId="11" xfId="0" applyFill="1" applyBorder="1">
      <alignment vertical="center"/>
    </xf>
    <xf numFmtId="0" fontId="0" fillId="15" borderId="1" xfId="0" applyFill="1" applyBorder="1">
      <alignment vertical="center"/>
    </xf>
    <xf numFmtId="3" fontId="0" fillId="15" borderId="1" xfId="0" applyNumberFormat="1" applyFill="1" applyBorder="1">
      <alignment vertical="center"/>
    </xf>
    <xf numFmtId="177" fontId="0" fillId="15" borderId="1" xfId="2" applyFont="1" applyFill="1" applyBorder="1">
      <alignment vertical="center"/>
    </xf>
    <xf numFmtId="0" fontId="0" fillId="15" borderId="11" xfId="0" applyFill="1" applyBorder="1">
      <alignment vertical="center"/>
    </xf>
    <xf numFmtId="0" fontId="0" fillId="16" borderId="1" xfId="0" applyFill="1" applyBorder="1">
      <alignment vertical="center"/>
    </xf>
    <xf numFmtId="3" fontId="0" fillId="5" borderId="1" xfId="0" applyNumberFormat="1" applyFill="1" applyBorder="1">
      <alignment vertical="center"/>
    </xf>
    <xf numFmtId="177" fontId="0" fillId="5" borderId="1" xfId="2" applyFont="1" applyFill="1" applyBorder="1">
      <alignment vertical="center"/>
    </xf>
    <xf numFmtId="0" fontId="0" fillId="17" borderId="11" xfId="0" applyFill="1" applyBorder="1">
      <alignment vertical="center"/>
    </xf>
    <xf numFmtId="0" fontId="0" fillId="16" borderId="0" xfId="0" applyFill="1">
      <alignment vertical="center"/>
    </xf>
    <xf numFmtId="0" fontId="0" fillId="0" borderId="11" xfId="0" applyBorder="1">
      <alignment vertical="center"/>
    </xf>
    <xf numFmtId="0" fontId="0" fillId="18" borderId="1" xfId="0" applyFill="1" applyBorder="1">
      <alignment vertical="center"/>
    </xf>
    <xf numFmtId="177" fontId="0" fillId="18" borderId="1" xfId="2" applyFont="1" applyFill="1" applyBorder="1">
      <alignment vertical="center"/>
    </xf>
    <xf numFmtId="177" fontId="0" fillId="4" borderId="1" xfId="2" applyFont="1" applyFill="1" applyBorder="1">
      <alignment vertical="center"/>
    </xf>
    <xf numFmtId="0" fontId="0" fillId="8" borderId="1" xfId="0" applyFill="1" applyBorder="1">
      <alignment vertical="center"/>
    </xf>
    <xf numFmtId="0" fontId="0" fillId="19" borderId="0" xfId="0" applyFill="1">
      <alignment vertical="center"/>
    </xf>
    <xf numFmtId="0" fontId="28" fillId="0" borderId="0" xfId="0" applyFont="1">
      <alignment vertical="center"/>
    </xf>
    <xf numFmtId="177" fontId="0" fillId="14" borderId="1" xfId="2" applyFont="1" applyFill="1" applyBorder="1">
      <alignment vertical="center"/>
    </xf>
    <xf numFmtId="177" fontId="0" fillId="14" borderId="0" xfId="2" applyFont="1" applyFill="1">
      <alignment vertical="center"/>
    </xf>
    <xf numFmtId="3" fontId="28" fillId="0" borderId="1" xfId="0" applyNumberFormat="1" applyFont="1" applyBorder="1">
      <alignment vertical="center"/>
    </xf>
    <xf numFmtId="0" fontId="28" fillId="0" borderId="1" xfId="0" applyFont="1" applyBorder="1" applyAlignment="1">
      <alignment horizontal="left" vertical="center"/>
    </xf>
    <xf numFmtId="177" fontId="28" fillId="4" borderId="1" xfId="2" applyFont="1" applyFill="1" applyBorder="1" applyAlignment="1">
      <alignment vertical="center"/>
    </xf>
    <xf numFmtId="177" fontId="0" fillId="15" borderId="0" xfId="2" applyFont="1" applyFill="1">
      <alignment vertical="center"/>
    </xf>
    <xf numFmtId="0" fontId="28" fillId="8" borderId="1" xfId="0" applyFont="1" applyFill="1" applyBorder="1">
      <alignment vertical="center"/>
    </xf>
    <xf numFmtId="3" fontId="28" fillId="8" borderId="1" xfId="0" applyNumberFormat="1" applyFont="1" applyFill="1" applyBorder="1">
      <alignment vertical="center"/>
    </xf>
    <xf numFmtId="177" fontId="0" fillId="5" borderId="0" xfId="2" applyFont="1" applyFill="1">
      <alignment vertical="center"/>
    </xf>
    <xf numFmtId="0" fontId="28" fillId="17" borderId="1" xfId="0" applyFont="1" applyFill="1" applyBorder="1">
      <alignment vertical="center"/>
    </xf>
    <xf numFmtId="3" fontId="29" fillId="0" borderId="0" xfId="0" applyNumberFormat="1" applyFont="1" applyAlignment="1">
      <alignment horizontal="justify" vertical="center"/>
    </xf>
    <xf numFmtId="3" fontId="29" fillId="20" borderId="0" xfId="0" applyNumberFormat="1" applyFont="1" applyFill="1" applyAlignment="1">
      <alignment horizontal="justify" vertical="center"/>
    </xf>
    <xf numFmtId="177" fontId="0" fillId="8" borderId="1" xfId="2" applyFont="1" applyFill="1" applyBorder="1">
      <alignment vertical="center"/>
    </xf>
    <xf numFmtId="177" fontId="0" fillId="8" borderId="0" xfId="2" applyFont="1" applyFill="1">
      <alignment vertical="center"/>
    </xf>
    <xf numFmtId="177" fontId="0" fillId="4" borderId="0" xfId="2" applyFont="1" applyFill="1">
      <alignment vertical="center"/>
    </xf>
    <xf numFmtId="0" fontId="28" fillId="21" borderId="1" xfId="0" applyFont="1" applyFill="1" applyBorder="1">
      <alignment vertical="center"/>
    </xf>
    <xf numFmtId="3" fontId="28" fillId="4" borderId="1" xfId="0" applyNumberFormat="1" applyFont="1" applyFill="1" applyBorder="1">
      <alignment vertical="center"/>
    </xf>
    <xf numFmtId="177" fontId="0" fillId="2" borderId="0" xfId="2" applyFont="1" applyFill="1">
      <alignment vertical="center"/>
    </xf>
    <xf numFmtId="3" fontId="28" fillId="22" borderId="1" xfId="0" applyNumberFormat="1" applyFont="1" applyFill="1" applyBorder="1">
      <alignment vertical="center"/>
    </xf>
    <xf numFmtId="177" fontId="0" fillId="19" borderId="0" xfId="2" applyFont="1" applyFill="1">
      <alignment vertical="center"/>
    </xf>
    <xf numFmtId="0" fontId="0" fillId="0" borderId="0" xfId="0" applyAlignment="1">
      <alignment horizontal="right" vertical="center"/>
    </xf>
    <xf numFmtId="0" fontId="0" fillId="21" borderId="0" xfId="0" applyFill="1">
      <alignment vertical="center"/>
    </xf>
    <xf numFmtId="0" fontId="0" fillId="21" borderId="1" xfId="0" applyFill="1" applyBorder="1">
      <alignment vertical="center"/>
    </xf>
    <xf numFmtId="12" fontId="0" fillId="0" borderId="0" xfId="0" applyNumberFormat="1">
      <alignment vertical="center"/>
    </xf>
    <xf numFmtId="184" fontId="0" fillId="0" borderId="1" xfId="2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185" fontId="0" fillId="0" borderId="1" xfId="2" applyNumberFormat="1" applyFont="1" applyBorder="1">
      <alignment vertical="center"/>
    </xf>
    <xf numFmtId="0" fontId="0" fillId="5" borderId="0" xfId="0" applyFill="1">
      <alignment vertical="center"/>
    </xf>
    <xf numFmtId="49" fontId="35" fillId="0" borderId="1" xfId="0" applyNumberFormat="1" applyFont="1" applyBorder="1">
      <alignment vertical="center"/>
    </xf>
    <xf numFmtId="0" fontId="36" fillId="0" borderId="1" xfId="0" applyFont="1" applyBorder="1">
      <alignment vertical="center"/>
    </xf>
    <xf numFmtId="176" fontId="37" fillId="3" borderId="1" xfId="0" applyNumberFormat="1" applyFont="1" applyFill="1" applyBorder="1" applyAlignment="1">
      <alignment horizontal="right" vertical="center"/>
    </xf>
    <xf numFmtId="176" fontId="37" fillId="0" borderId="1" xfId="0" applyNumberFormat="1" applyFont="1" applyBorder="1" applyAlignment="1">
      <alignment horizontal="right" vertical="center"/>
    </xf>
    <xf numFmtId="0" fontId="38" fillId="0" borderId="1" xfId="0" applyFont="1" applyBorder="1">
      <alignment vertical="center"/>
    </xf>
    <xf numFmtId="176" fontId="37" fillId="3" borderId="1" xfId="0" applyNumberFormat="1" applyFont="1" applyFill="1" applyBorder="1">
      <alignment vertical="center"/>
    </xf>
    <xf numFmtId="0" fontId="37" fillId="0" borderId="1" xfId="0" applyFont="1" applyBorder="1">
      <alignment vertical="center"/>
    </xf>
    <xf numFmtId="0" fontId="36" fillId="0" borderId="0" xfId="0" applyFont="1">
      <alignment vertical="center"/>
    </xf>
    <xf numFmtId="176" fontId="37" fillId="0" borderId="1" xfId="0" applyNumberFormat="1" applyFont="1" applyBorder="1">
      <alignment vertical="center"/>
    </xf>
    <xf numFmtId="176" fontId="37" fillId="2" borderId="1" xfId="0" applyNumberFormat="1" applyFont="1" applyFill="1" applyBorder="1">
      <alignment vertical="center"/>
    </xf>
    <xf numFmtId="38" fontId="37" fillId="0" borderId="1" xfId="1" applyFont="1" applyFill="1" applyBorder="1" applyAlignment="1" applyProtection="1">
      <alignment vertical="center"/>
    </xf>
    <xf numFmtId="38" fontId="38" fillId="0" borderId="1" xfId="1" applyFont="1" applyBorder="1">
      <alignment vertical="center"/>
    </xf>
    <xf numFmtId="176" fontId="39" fillId="3" borderId="1" xfId="0" applyNumberFormat="1" applyFont="1" applyFill="1" applyBorder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38" fontId="41" fillId="0" borderId="0" xfId="1" applyFont="1" applyFill="1">
      <alignment vertical="center"/>
    </xf>
    <xf numFmtId="0" fontId="41" fillId="0" borderId="1" xfId="0" applyFont="1" applyBorder="1">
      <alignment vertical="center"/>
    </xf>
    <xf numFmtId="49" fontId="42" fillId="0" borderId="3" xfId="0" applyNumberFormat="1" applyFont="1" applyBorder="1" applyAlignment="1">
      <alignment horizontal="center" vertical="center"/>
    </xf>
    <xf numFmtId="49" fontId="43" fillId="0" borderId="1" xfId="0" applyNumberFormat="1" applyFont="1" applyBorder="1">
      <alignment vertical="center"/>
    </xf>
    <xf numFmtId="38" fontId="41" fillId="0" borderId="0" xfId="1" applyFont="1" applyFill="1" applyBorder="1">
      <alignment vertical="center"/>
    </xf>
    <xf numFmtId="49" fontId="44" fillId="0" borderId="1" xfId="0" applyNumberFormat="1" applyFont="1" applyBorder="1" applyAlignment="1">
      <alignment horizontal="justify"/>
    </xf>
    <xf numFmtId="38" fontId="45" fillId="0" borderId="1" xfId="1" applyFont="1" applyFill="1" applyBorder="1">
      <alignment vertical="center"/>
    </xf>
    <xf numFmtId="176" fontId="42" fillId="0" borderId="3" xfId="0" applyNumberFormat="1" applyFont="1" applyBorder="1" applyAlignment="1">
      <alignment horizontal="right" vertical="center"/>
    </xf>
    <xf numFmtId="176" fontId="44" fillId="0" borderId="1" xfId="0" applyNumberFormat="1" applyFont="1" applyBorder="1">
      <alignment vertical="center"/>
    </xf>
    <xf numFmtId="38" fontId="44" fillId="0" borderId="11" xfId="1" applyFont="1" applyFill="1" applyBorder="1" applyAlignment="1">
      <alignment vertical="center"/>
    </xf>
    <xf numFmtId="176" fontId="44" fillId="0" borderId="1" xfId="0" applyNumberFormat="1" applyFont="1" applyBorder="1" applyAlignment="1">
      <alignment horizontal="right" vertical="center"/>
    </xf>
    <xf numFmtId="0" fontId="45" fillId="0" borderId="1" xfId="0" applyFont="1" applyBorder="1">
      <alignment vertical="center"/>
    </xf>
    <xf numFmtId="0" fontId="41" fillId="0" borderId="12" xfId="0" applyFont="1" applyBorder="1">
      <alignment vertical="center"/>
    </xf>
    <xf numFmtId="38" fontId="44" fillId="0" borderId="1" xfId="1" applyFont="1" applyFill="1" applyBorder="1" applyAlignment="1">
      <alignment vertical="center"/>
    </xf>
    <xf numFmtId="0" fontId="44" fillId="0" borderId="1" xfId="0" applyFont="1" applyBorder="1">
      <alignment vertical="center"/>
    </xf>
    <xf numFmtId="176" fontId="45" fillId="0" borderId="1" xfId="0" applyNumberFormat="1" applyFont="1" applyBorder="1">
      <alignment vertical="center"/>
    </xf>
    <xf numFmtId="38" fontId="45" fillId="0" borderId="11" xfId="1" applyFont="1" applyFill="1" applyBorder="1" applyAlignment="1">
      <alignment vertical="center"/>
    </xf>
    <xf numFmtId="38" fontId="45" fillId="0" borderId="1" xfId="1" applyFont="1" applyFill="1" applyBorder="1" applyAlignment="1">
      <alignment vertical="center"/>
    </xf>
    <xf numFmtId="38" fontId="44" fillId="0" borderId="1" xfId="1" applyFont="1" applyFill="1" applyBorder="1" applyAlignment="1" applyProtection="1">
      <alignment vertical="center"/>
    </xf>
    <xf numFmtId="38" fontId="44" fillId="0" borderId="11" xfId="1" applyFont="1" applyFill="1" applyBorder="1" applyAlignment="1" applyProtection="1">
      <alignment vertical="center"/>
    </xf>
    <xf numFmtId="38" fontId="46" fillId="0" borderId="1" xfId="1" applyFont="1" applyFill="1" applyBorder="1" applyAlignment="1">
      <alignment vertical="center"/>
    </xf>
    <xf numFmtId="38" fontId="46" fillId="0" borderId="11" xfId="1" applyFont="1" applyFill="1" applyBorder="1" applyAlignment="1">
      <alignment vertical="center"/>
    </xf>
    <xf numFmtId="38" fontId="45" fillId="0" borderId="12" xfId="1" applyFont="1" applyFill="1" applyBorder="1">
      <alignment vertical="center"/>
    </xf>
    <xf numFmtId="176" fontId="47" fillId="0" borderId="1" xfId="0" applyNumberFormat="1" applyFont="1" applyBorder="1">
      <alignment vertical="center"/>
    </xf>
    <xf numFmtId="38" fontId="47" fillId="0" borderId="11" xfId="1" applyFont="1" applyFill="1" applyBorder="1" applyAlignment="1">
      <alignment vertical="center"/>
    </xf>
    <xf numFmtId="186" fontId="41" fillId="0" borderId="0" xfId="0" applyNumberFormat="1" applyFont="1">
      <alignment vertical="center"/>
    </xf>
    <xf numFmtId="0" fontId="48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177" fontId="0" fillId="0" borderId="0" xfId="2" applyFont="1" applyAlignment="1">
      <alignment vertical="center"/>
    </xf>
    <xf numFmtId="0" fontId="20" fillId="11" borderId="10" xfId="0" applyFont="1" applyFill="1" applyBorder="1" applyAlignment="1">
      <alignment horizontal="center" vertical="center"/>
    </xf>
    <xf numFmtId="0" fontId="20" fillId="11" borderId="11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49" fontId="4" fillId="0" borderId="4" xfId="0" applyNumberFormat="1" applyFont="1" applyBorder="1" applyAlignment="1">
      <alignment horizontal="center" vertical="center"/>
    </xf>
  </cellXfs>
  <cellStyles count="5">
    <cellStyle name="パーセント" xfId="3" builtinId="5"/>
    <cellStyle name="桁区切り" xfId="1" builtinId="6"/>
    <cellStyle name="桁区切り [0.00]" xfId="2" builtinId="3"/>
    <cellStyle name="標準" xfId="0" builtinId="0"/>
    <cellStyle name="標準 2" xfId="4" xr:uid="{00000000-0005-0000-0000-000031000000}"/>
  </cellStyles>
  <dxfs count="0"/>
  <tableStyles count="0" defaultTableStyle="TableStyleMedium2" defaultPivotStyle="PivotStyleLight16"/>
  <colors>
    <mruColors>
      <color rgb="FFF8CBAD"/>
      <color rgb="FFCC99FF"/>
      <color rgb="FFCC66FF"/>
      <color rgb="FF00FF00"/>
      <color rgb="FFE2EFDA"/>
      <color rgb="FFDF3621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workbookViewId="0">
      <selection activeCell="O13" sqref="O13"/>
    </sheetView>
  </sheetViews>
  <sheetFormatPr defaultColWidth="9" defaultRowHeight="13.5"/>
  <cols>
    <col min="1" max="1" width="34.875" customWidth="1"/>
    <col min="2" max="3" width="10.125" hidden="1" customWidth="1"/>
    <col min="4" max="4" width="10.375" hidden="1" customWidth="1"/>
    <col min="5" max="5" width="13.375" customWidth="1"/>
    <col min="6" max="6" width="9" customWidth="1"/>
    <col min="7" max="7" width="13.125" customWidth="1"/>
    <col min="8" max="8" width="16.5" customWidth="1"/>
    <col min="9" max="12" width="12.625"/>
    <col min="13" max="13" width="19.375" style="159" customWidth="1"/>
    <col min="14" max="14" width="13.5" customWidth="1"/>
    <col min="15" max="15" width="11.125"/>
    <col min="16" max="16" width="9.375"/>
  </cols>
  <sheetData>
    <row r="1" spans="1:15">
      <c r="A1" s="254" t="s">
        <v>0</v>
      </c>
      <c r="B1" s="254"/>
      <c r="C1" s="254"/>
      <c r="D1" s="254"/>
      <c r="E1" s="254"/>
    </row>
    <row r="2" spans="1:15" ht="18.75">
      <c r="A2" s="161"/>
      <c r="B2" s="1"/>
      <c r="C2" s="1"/>
      <c r="D2" s="1"/>
      <c r="E2" s="1" t="s">
        <v>1</v>
      </c>
    </row>
    <row r="3" spans="1:15">
      <c r="A3" s="1" t="s">
        <v>2</v>
      </c>
      <c r="B3" s="1"/>
      <c r="C3" s="95">
        <v>19370</v>
      </c>
      <c r="D3" s="95">
        <v>89685604</v>
      </c>
      <c r="E3" s="95">
        <v>89666234</v>
      </c>
    </row>
    <row r="4" spans="1:15">
      <c r="A4" s="162" t="s">
        <v>3</v>
      </c>
      <c r="B4" s="162"/>
      <c r="C4" s="163">
        <v>19370</v>
      </c>
      <c r="D4" s="163">
        <v>74423260</v>
      </c>
      <c r="E4" s="163">
        <v>74403890</v>
      </c>
      <c r="N4" s="182"/>
      <c r="O4" s="182"/>
    </row>
    <row r="5" spans="1:15">
      <c r="A5" s="162" t="s">
        <v>4</v>
      </c>
      <c r="B5" s="162"/>
      <c r="C5" s="162"/>
      <c r="D5" s="163">
        <v>73842760</v>
      </c>
      <c r="E5" s="163">
        <v>73842760</v>
      </c>
      <c r="H5" s="160" t="s">
        <v>5</v>
      </c>
      <c r="I5" s="160"/>
      <c r="J5" s="160"/>
      <c r="K5" s="160"/>
      <c r="L5" s="160"/>
      <c r="M5" s="159" t="s">
        <v>6</v>
      </c>
      <c r="N5" s="160" t="s">
        <v>7</v>
      </c>
    </row>
    <row r="6" spans="1:15">
      <c r="A6" s="162" t="s">
        <v>8</v>
      </c>
      <c r="B6" s="162"/>
      <c r="C6" s="163">
        <v>19370</v>
      </c>
      <c r="D6" s="163">
        <v>580500</v>
      </c>
      <c r="E6" s="163">
        <v>561130</v>
      </c>
      <c r="H6" s="164" t="s">
        <v>9</v>
      </c>
      <c r="I6" s="164" t="s">
        <v>10</v>
      </c>
      <c r="J6" s="182" t="s">
        <v>11</v>
      </c>
      <c r="K6" s="182" t="s">
        <v>12</v>
      </c>
      <c r="L6" s="182" t="s">
        <v>13</v>
      </c>
      <c r="N6" s="164" t="s">
        <v>9</v>
      </c>
      <c r="O6" s="164" t="s">
        <v>14</v>
      </c>
    </row>
    <row r="7" spans="1:15">
      <c r="A7" s="1" t="s">
        <v>15</v>
      </c>
      <c r="B7" s="1"/>
      <c r="C7" s="1"/>
      <c r="D7" s="95">
        <v>15262344</v>
      </c>
      <c r="E7" s="95">
        <v>15262344</v>
      </c>
      <c r="H7" s="162" t="s">
        <v>16</v>
      </c>
      <c r="I7" s="183">
        <v>77593500</v>
      </c>
      <c r="J7" s="184">
        <v>76402000</v>
      </c>
      <c r="K7" s="184">
        <v>79256000</v>
      </c>
      <c r="L7" s="184">
        <v>85750000</v>
      </c>
      <c r="M7" s="159">
        <f>I7-O7</f>
        <v>-906500</v>
      </c>
      <c r="N7" s="164" t="s">
        <v>16</v>
      </c>
      <c r="O7" s="185">
        <v>78500000</v>
      </c>
    </row>
    <row r="8" spans="1:15">
      <c r="A8" s="1" t="s">
        <v>17</v>
      </c>
      <c r="B8" s="1"/>
      <c r="C8" s="1"/>
      <c r="D8" s="95">
        <v>15262344</v>
      </c>
      <c r="E8" s="95">
        <v>15262344</v>
      </c>
      <c r="H8" s="1" t="s">
        <v>18</v>
      </c>
      <c r="I8" s="136">
        <v>31675026</v>
      </c>
      <c r="J8" s="159">
        <v>33000000</v>
      </c>
      <c r="K8" s="159">
        <v>33000000</v>
      </c>
      <c r="L8" s="159">
        <v>35000000</v>
      </c>
      <c r="M8" s="159">
        <f>I8-O8</f>
        <v>-672118</v>
      </c>
      <c r="N8" s="186" t="s">
        <v>19</v>
      </c>
      <c r="O8" s="185">
        <v>32347144</v>
      </c>
    </row>
    <row r="9" spans="1:15">
      <c r="A9" s="101" t="s">
        <v>20</v>
      </c>
      <c r="B9" s="101"/>
      <c r="C9" s="165">
        <v>19370</v>
      </c>
      <c r="D9" s="165">
        <v>89685604</v>
      </c>
      <c r="E9" s="165">
        <v>89666234</v>
      </c>
      <c r="H9" s="166" t="s">
        <v>21</v>
      </c>
      <c r="I9" s="179">
        <f>I7+I8</f>
        <v>109268526</v>
      </c>
      <c r="J9" s="179">
        <f>J7+J8</f>
        <v>109402000</v>
      </c>
      <c r="K9" s="179">
        <f>K7+J8</f>
        <v>112256000</v>
      </c>
      <c r="L9" s="179">
        <f>L7+L8</f>
        <v>120750000</v>
      </c>
      <c r="M9" s="159">
        <f>I9-O9</f>
        <v>-1571474</v>
      </c>
      <c r="N9" s="164" t="s">
        <v>22</v>
      </c>
      <c r="O9" s="187">
        <v>110840000</v>
      </c>
    </row>
    <row r="11" spans="1:15">
      <c r="A11" s="1"/>
      <c r="B11" s="1"/>
      <c r="C11" s="95"/>
      <c r="D11" s="95"/>
      <c r="E11" s="95"/>
      <c r="F11" s="1" t="s">
        <v>23</v>
      </c>
      <c r="G11" s="1" t="s">
        <v>24</v>
      </c>
      <c r="N11" s="164"/>
      <c r="O11" s="185"/>
    </row>
    <row r="12" spans="1:15">
      <c r="A12" s="167" t="s">
        <v>25</v>
      </c>
      <c r="B12" s="167"/>
      <c r="C12" s="168">
        <v>67689574</v>
      </c>
      <c r="D12" s="167"/>
      <c r="E12" s="168">
        <v>67689574</v>
      </c>
      <c r="F12" s="167"/>
      <c r="G12" s="169">
        <f>G13+G14+G15</f>
        <v>12830788.1</v>
      </c>
      <c r="H12" s="170" t="s">
        <v>25</v>
      </c>
      <c r="I12" s="169">
        <f>I13+I14+I16+I17</f>
        <v>82100362.099999994</v>
      </c>
      <c r="J12" s="188" t="e">
        <f>SUM(J13:J17)</f>
        <v>#REF!</v>
      </c>
      <c r="K12" s="188"/>
      <c r="L12" s="188" t="e">
        <f>SUM(L13:L17)</f>
        <v>#REF!</v>
      </c>
      <c r="M12" s="159">
        <f>I12-O12</f>
        <v>5121864.099999994</v>
      </c>
      <c r="N12" s="189" t="s">
        <v>26</v>
      </c>
      <c r="O12" s="190">
        <v>76978498</v>
      </c>
    </row>
    <row r="13" spans="1:15">
      <c r="A13" s="171" t="s">
        <v>27</v>
      </c>
      <c r="B13" s="109"/>
      <c r="C13" s="172">
        <v>53156454</v>
      </c>
      <c r="D13" s="173">
        <f>C13/10</f>
        <v>5315645.4000000004</v>
      </c>
      <c r="E13" s="172">
        <v>53156454</v>
      </c>
      <c r="F13" s="109">
        <v>2</v>
      </c>
      <c r="G13" s="173">
        <f>D13*F13</f>
        <v>10631290.800000001</v>
      </c>
      <c r="H13" s="174" t="s">
        <v>27</v>
      </c>
      <c r="I13" s="173">
        <f>G13+E13</f>
        <v>63787744.799999997</v>
      </c>
      <c r="J13" s="191" t="e">
        <f>#REF!</f>
        <v>#REF!</v>
      </c>
      <c r="K13" s="191"/>
      <c r="L13" s="191" t="e">
        <f>#REF!</f>
        <v>#REF!</v>
      </c>
      <c r="N13" s="192" t="s">
        <v>28</v>
      </c>
      <c r="O13" s="185">
        <v>34988498</v>
      </c>
    </row>
    <row r="14" spans="1:15">
      <c r="A14" s="171" t="s">
        <v>29</v>
      </c>
      <c r="B14" s="109"/>
      <c r="C14" s="172">
        <v>7071267</v>
      </c>
      <c r="D14" s="173">
        <f>C14/10</f>
        <v>707126.7</v>
      </c>
      <c r="E14" s="172">
        <v>7071267</v>
      </c>
      <c r="F14" s="109">
        <v>1</v>
      </c>
      <c r="G14" s="173">
        <f>D14*F14</f>
        <v>707126.7</v>
      </c>
      <c r="H14" s="174" t="s">
        <v>29</v>
      </c>
      <c r="I14" s="173">
        <f>G14+E14</f>
        <v>7778393.7000000002</v>
      </c>
      <c r="J14" s="191" t="e">
        <f>#REF!</f>
        <v>#REF!</v>
      </c>
      <c r="K14" s="191"/>
      <c r="L14" s="191" t="e">
        <f t="shared" ref="L14:L26" si="0">J14</f>
        <v>#REF!</v>
      </c>
      <c r="N14" s="192" t="s">
        <v>30</v>
      </c>
      <c r="O14" s="185">
        <v>32850000</v>
      </c>
    </row>
    <row r="15" spans="1:15">
      <c r="A15" s="171" t="s">
        <v>31</v>
      </c>
      <c r="B15" s="109"/>
      <c r="C15" s="172">
        <v>7461853</v>
      </c>
      <c r="D15" s="173">
        <f>C15/10</f>
        <v>746185.3</v>
      </c>
      <c r="E15" s="172">
        <v>7461853</v>
      </c>
      <c r="F15" s="109">
        <v>2</v>
      </c>
      <c r="G15" s="173">
        <f>D15*F15</f>
        <v>1492370.6</v>
      </c>
      <c r="H15" s="175"/>
      <c r="N15" s="192" t="s">
        <v>32</v>
      </c>
      <c r="O15" s="185">
        <v>500000</v>
      </c>
    </row>
    <row r="16" spans="1:15">
      <c r="H16" s="174" t="s">
        <v>31</v>
      </c>
      <c r="I16" s="173">
        <f>G15+E15</f>
        <v>8954223.5999999996</v>
      </c>
      <c r="J16" s="173">
        <f t="shared" ref="J16:J26" si="1">I16</f>
        <v>8954223.5999999996</v>
      </c>
      <c r="K16" s="191"/>
      <c r="L16" s="191">
        <f t="shared" si="0"/>
        <v>8954223.5999999996</v>
      </c>
      <c r="M16" s="159">
        <f>I16-O16</f>
        <v>1554223.5999999996</v>
      </c>
      <c r="N16" s="192" t="s">
        <v>33</v>
      </c>
      <c r="O16" s="185">
        <v>7400000</v>
      </c>
    </row>
    <row r="17" spans="1:15">
      <c r="H17" s="174" t="s">
        <v>34</v>
      </c>
      <c r="I17" s="136">
        <v>1580000</v>
      </c>
      <c r="J17" s="159">
        <f>I17/5*7</f>
        <v>2212000</v>
      </c>
      <c r="K17" s="159"/>
      <c r="L17" s="159">
        <f t="shared" si="0"/>
        <v>2212000</v>
      </c>
      <c r="M17" s="159">
        <f>I17-O17</f>
        <v>830000</v>
      </c>
      <c r="N17" s="192" t="s">
        <v>35</v>
      </c>
      <c r="O17" s="185">
        <v>750000</v>
      </c>
    </row>
    <row r="18" spans="1:15">
      <c r="A18" s="167" t="s">
        <v>36</v>
      </c>
      <c r="B18" s="167"/>
      <c r="C18" s="168">
        <v>5965097</v>
      </c>
      <c r="D18" s="169">
        <f t="shared" ref="D18:D25" si="2">C18/10</f>
        <v>596509.69999999995</v>
      </c>
      <c r="E18" s="168">
        <v>5965097</v>
      </c>
      <c r="F18" s="167">
        <v>2</v>
      </c>
      <c r="G18" s="169">
        <f t="shared" ref="G18:G25" si="3">D18*F18</f>
        <v>1193019.3999999999</v>
      </c>
      <c r="H18" s="170" t="s">
        <v>36</v>
      </c>
      <c r="I18" s="169">
        <f t="shared" ref="I18:I25" si="4">G18+E18</f>
        <v>7158116.4000000004</v>
      </c>
      <c r="J18" s="188">
        <f>I18*1.05</f>
        <v>7516022.2200000007</v>
      </c>
      <c r="K18" s="188"/>
      <c r="L18" s="188">
        <f t="shared" si="0"/>
        <v>7516022.2200000007</v>
      </c>
      <c r="M18" s="159">
        <f t="shared" ref="M18:M24" si="5">I18-O18</f>
        <v>98116.400000000373</v>
      </c>
      <c r="N18" s="189" t="s">
        <v>37</v>
      </c>
      <c r="O18" s="190">
        <v>7060000</v>
      </c>
    </row>
    <row r="19" spans="1:15">
      <c r="A19" s="1" t="s">
        <v>38</v>
      </c>
      <c r="B19" s="1"/>
      <c r="C19" s="95">
        <v>2071318</v>
      </c>
      <c r="D19" s="136">
        <f t="shared" si="2"/>
        <v>207131.8</v>
      </c>
      <c r="E19" s="95">
        <v>2071318</v>
      </c>
      <c r="F19" s="1">
        <v>2</v>
      </c>
      <c r="G19" s="136">
        <f t="shared" si="3"/>
        <v>414263.6</v>
      </c>
      <c r="H19" s="176" t="s">
        <v>38</v>
      </c>
      <c r="I19" s="136">
        <f t="shared" si="4"/>
        <v>2485581.6</v>
      </c>
      <c r="J19" s="159">
        <f>I19*1.1</f>
        <v>2734139.7600000002</v>
      </c>
      <c r="K19" s="159"/>
      <c r="L19" s="159">
        <f>I19*1.3</f>
        <v>3231256.08</v>
      </c>
      <c r="M19" s="159">
        <f t="shared" si="5"/>
        <v>485581.60000000009</v>
      </c>
      <c r="N19" s="164" t="s">
        <v>39</v>
      </c>
      <c r="O19" s="185">
        <v>2000000</v>
      </c>
    </row>
    <row r="20" spans="1:15">
      <c r="A20" s="1" t="s">
        <v>40</v>
      </c>
      <c r="B20" s="1"/>
      <c r="C20" s="95">
        <v>359374</v>
      </c>
      <c r="D20" s="136">
        <f t="shared" si="2"/>
        <v>35937.4</v>
      </c>
      <c r="E20" s="95">
        <v>359374</v>
      </c>
      <c r="F20" s="1">
        <v>2</v>
      </c>
      <c r="G20" s="136">
        <f t="shared" si="3"/>
        <v>71874.8</v>
      </c>
      <c r="H20" s="176" t="s">
        <v>40</v>
      </c>
      <c r="I20" s="136">
        <f t="shared" si="4"/>
        <v>431248.8</v>
      </c>
      <c r="J20" s="159">
        <f t="shared" si="1"/>
        <v>431248.8</v>
      </c>
      <c r="K20" s="159"/>
      <c r="L20" s="159">
        <f t="shared" si="0"/>
        <v>431248.8</v>
      </c>
      <c r="M20" s="159">
        <f t="shared" si="5"/>
        <v>-98751.200000000012</v>
      </c>
      <c r="N20" s="164" t="s">
        <v>41</v>
      </c>
      <c r="O20" s="185">
        <v>530000</v>
      </c>
    </row>
    <row r="21" spans="1:15">
      <c r="A21" s="1" t="s">
        <v>42</v>
      </c>
      <c r="B21" s="1"/>
      <c r="C21" s="95">
        <v>721012</v>
      </c>
      <c r="D21" s="136">
        <f t="shared" si="2"/>
        <v>72101.2</v>
      </c>
      <c r="E21" s="95">
        <v>721012</v>
      </c>
      <c r="F21" s="1">
        <v>2</v>
      </c>
      <c r="G21" s="136">
        <f t="shared" si="3"/>
        <v>144202.4</v>
      </c>
      <c r="H21" s="176" t="s">
        <v>42</v>
      </c>
      <c r="I21" s="136">
        <f t="shared" si="4"/>
        <v>865214.4</v>
      </c>
      <c r="J21" s="159">
        <f t="shared" si="1"/>
        <v>865214.4</v>
      </c>
      <c r="K21" s="159"/>
      <c r="L21" s="159">
        <f t="shared" si="0"/>
        <v>865214.4</v>
      </c>
      <c r="M21" s="159">
        <f t="shared" si="5"/>
        <v>-34785.599999999977</v>
      </c>
      <c r="N21" s="164" t="s">
        <v>43</v>
      </c>
      <c r="O21" s="185">
        <v>900000</v>
      </c>
    </row>
    <row r="22" spans="1:15">
      <c r="A22" s="1" t="s">
        <v>44</v>
      </c>
      <c r="B22" s="1"/>
      <c r="C22" s="95">
        <v>1153830</v>
      </c>
      <c r="D22" s="136">
        <f t="shared" si="2"/>
        <v>115383</v>
      </c>
      <c r="E22" s="95">
        <v>1153830</v>
      </c>
      <c r="F22" s="1">
        <v>2</v>
      </c>
      <c r="G22" s="136">
        <f t="shared" si="3"/>
        <v>230766</v>
      </c>
      <c r="H22" s="176" t="s">
        <v>44</v>
      </c>
      <c r="I22" s="136">
        <f t="shared" si="4"/>
        <v>1384596</v>
      </c>
      <c r="J22" s="159">
        <f t="shared" si="1"/>
        <v>1384596</v>
      </c>
      <c r="K22" s="159"/>
      <c r="L22" s="159">
        <f t="shared" si="0"/>
        <v>1384596</v>
      </c>
      <c r="M22" s="159">
        <f t="shared" si="5"/>
        <v>-265404</v>
      </c>
      <c r="N22" s="164" t="s">
        <v>45</v>
      </c>
      <c r="O22" s="185">
        <v>1650000</v>
      </c>
    </row>
    <row r="23" spans="1:15">
      <c r="A23" s="1" t="s">
        <v>46</v>
      </c>
      <c r="B23" s="1"/>
      <c r="C23" s="95">
        <v>1076233</v>
      </c>
      <c r="D23" s="136">
        <f t="shared" si="2"/>
        <v>107623.3</v>
      </c>
      <c r="E23" s="95">
        <v>1076233</v>
      </c>
      <c r="F23" s="1">
        <v>2</v>
      </c>
      <c r="G23" s="136">
        <f t="shared" si="3"/>
        <v>215246.6</v>
      </c>
      <c r="H23" s="176" t="s">
        <v>46</v>
      </c>
      <c r="I23" s="136">
        <f t="shared" si="4"/>
        <v>1291479.6000000001</v>
      </c>
      <c r="J23" s="159">
        <f t="shared" si="1"/>
        <v>1291479.6000000001</v>
      </c>
      <c r="K23" s="159"/>
      <c r="L23" s="159">
        <f t="shared" si="0"/>
        <v>1291479.6000000001</v>
      </c>
      <c r="M23" s="159">
        <f t="shared" si="5"/>
        <v>-508520.39999999991</v>
      </c>
      <c r="N23" s="164" t="s">
        <v>47</v>
      </c>
      <c r="O23" s="185">
        <v>1800000</v>
      </c>
    </row>
    <row r="24" spans="1:15">
      <c r="A24" s="1" t="s">
        <v>48</v>
      </c>
      <c r="B24" s="1"/>
      <c r="C24" s="95">
        <v>583000</v>
      </c>
      <c r="D24" s="136">
        <f t="shared" si="2"/>
        <v>58300</v>
      </c>
      <c r="E24" s="95">
        <v>583000</v>
      </c>
      <c r="F24" s="1">
        <v>2</v>
      </c>
      <c r="G24" s="136">
        <f t="shared" si="3"/>
        <v>116600</v>
      </c>
      <c r="H24" s="176" t="s">
        <v>48</v>
      </c>
      <c r="I24" s="136">
        <f t="shared" si="4"/>
        <v>699600</v>
      </c>
      <c r="J24" s="159">
        <f t="shared" si="1"/>
        <v>699600</v>
      </c>
      <c r="K24" s="159"/>
      <c r="L24" s="159">
        <f t="shared" si="0"/>
        <v>699600</v>
      </c>
      <c r="M24" s="159">
        <f t="shared" si="5"/>
        <v>699599</v>
      </c>
      <c r="N24" s="164" t="s">
        <v>49</v>
      </c>
      <c r="O24" s="185">
        <v>1</v>
      </c>
    </row>
    <row r="25" spans="1:15">
      <c r="A25" s="1" t="s">
        <v>50</v>
      </c>
      <c r="B25" s="1"/>
      <c r="C25" s="1">
        <v>330330</v>
      </c>
      <c r="D25" s="136">
        <f t="shared" si="2"/>
        <v>33033</v>
      </c>
      <c r="E25" s="1"/>
      <c r="F25" s="1">
        <v>2</v>
      </c>
      <c r="G25" s="136">
        <f t="shared" si="3"/>
        <v>66066</v>
      </c>
      <c r="H25" s="176" t="s">
        <v>50</v>
      </c>
      <c r="I25" s="136">
        <f t="shared" si="4"/>
        <v>66066</v>
      </c>
      <c r="J25" s="159">
        <f t="shared" si="1"/>
        <v>66066</v>
      </c>
      <c r="K25" s="159"/>
      <c r="L25" s="159">
        <f t="shared" si="0"/>
        <v>66066</v>
      </c>
      <c r="M25" s="159">
        <f>I26-O25</f>
        <v>0</v>
      </c>
      <c r="N25" s="164" t="s">
        <v>51</v>
      </c>
      <c r="O25" s="185">
        <v>80000</v>
      </c>
    </row>
    <row r="26" spans="1:15">
      <c r="H26" t="s">
        <v>52</v>
      </c>
      <c r="I26" s="1">
        <v>80000</v>
      </c>
      <c r="J26" s="159">
        <f t="shared" si="1"/>
        <v>80000</v>
      </c>
      <c r="K26" s="159"/>
      <c r="L26" s="159">
        <f t="shared" si="0"/>
        <v>80000</v>
      </c>
      <c r="M26" s="159">
        <f>I25-O26</f>
        <v>-33934</v>
      </c>
      <c r="N26" s="164" t="s">
        <v>53</v>
      </c>
      <c r="O26" s="185">
        <v>100000</v>
      </c>
    </row>
    <row r="27" spans="1:15">
      <c r="A27" s="167" t="s">
        <v>54</v>
      </c>
      <c r="B27" s="167"/>
      <c r="C27" s="168">
        <v>13835280</v>
      </c>
      <c r="D27" s="169">
        <f>C27/10</f>
        <v>1383528</v>
      </c>
      <c r="E27" s="168">
        <v>12646534</v>
      </c>
      <c r="F27" s="167">
        <v>2</v>
      </c>
      <c r="G27" s="169">
        <f t="shared" ref="G27:G45" si="6">D27*F27</f>
        <v>2767056</v>
      </c>
      <c r="H27" s="170" t="s">
        <v>54</v>
      </c>
      <c r="I27" s="169">
        <f t="shared" ref="I27:I32" si="7">G27+E27</f>
        <v>15413590</v>
      </c>
      <c r="J27" s="188">
        <f>SUM(J28:J45)</f>
        <v>17302291.199999999</v>
      </c>
      <c r="K27" s="188"/>
      <c r="L27" s="188">
        <f>SUM(L28:L45)</f>
        <v>17302291.199999999</v>
      </c>
      <c r="M27" s="159">
        <f>I27-O27</f>
        <v>-3045548</v>
      </c>
      <c r="N27" s="189" t="s">
        <v>55</v>
      </c>
      <c r="O27" s="190">
        <v>18459138</v>
      </c>
    </row>
    <row r="28" spans="1:15">
      <c r="A28" s="1" t="s">
        <v>56</v>
      </c>
      <c r="B28" s="1"/>
      <c r="C28" s="95">
        <v>651430</v>
      </c>
      <c r="D28" s="136">
        <f>C28/10</f>
        <v>65143</v>
      </c>
      <c r="E28" s="95">
        <v>651430</v>
      </c>
      <c r="F28" s="1">
        <v>2</v>
      </c>
      <c r="G28" s="136">
        <f t="shared" si="6"/>
        <v>130286</v>
      </c>
      <c r="H28" s="176" t="s">
        <v>56</v>
      </c>
      <c r="I28" s="136">
        <f t="shared" si="7"/>
        <v>781716</v>
      </c>
      <c r="J28" s="136">
        <f>I28</f>
        <v>781716</v>
      </c>
      <c r="K28" s="159"/>
      <c r="L28" s="159">
        <v>781716</v>
      </c>
      <c r="M28" s="159">
        <f t="shared" ref="M28:M33" si="8">I28-O28</f>
        <v>-218284</v>
      </c>
      <c r="N28" s="164" t="s">
        <v>57</v>
      </c>
      <c r="O28" s="185">
        <v>1000000</v>
      </c>
    </row>
    <row r="29" spans="1:15">
      <c r="A29" s="1" t="s">
        <v>58</v>
      </c>
      <c r="B29" s="1"/>
      <c r="C29" s="95">
        <v>56674</v>
      </c>
      <c r="D29" s="136">
        <f>C29/10</f>
        <v>5667.4</v>
      </c>
      <c r="E29" s="95">
        <v>56674</v>
      </c>
      <c r="F29" s="1">
        <v>2</v>
      </c>
      <c r="G29" s="136">
        <f t="shared" si="6"/>
        <v>11334.8</v>
      </c>
      <c r="H29" s="176" t="s">
        <v>58</v>
      </c>
      <c r="I29" s="136">
        <f t="shared" si="7"/>
        <v>68008.800000000003</v>
      </c>
      <c r="J29" s="136">
        <f>I29</f>
        <v>68008.800000000003</v>
      </c>
      <c r="K29" s="159"/>
      <c r="L29" s="159">
        <v>68008.800000000003</v>
      </c>
      <c r="M29" s="159">
        <v>68009</v>
      </c>
      <c r="N29" s="1"/>
      <c r="O29" s="1"/>
    </row>
    <row r="30" spans="1:15">
      <c r="A30" s="177" t="s">
        <v>59</v>
      </c>
      <c r="B30" s="177"/>
      <c r="C30" s="177">
        <v>294</v>
      </c>
      <c r="D30" s="178">
        <f>C30/10</f>
        <v>29.4</v>
      </c>
      <c r="E30" s="177">
        <v>294</v>
      </c>
      <c r="F30" s="1">
        <v>2</v>
      </c>
      <c r="G30" s="136">
        <f t="shared" si="6"/>
        <v>58.8</v>
      </c>
      <c r="H30" s="176" t="s">
        <v>59</v>
      </c>
      <c r="I30" s="136">
        <f t="shared" si="7"/>
        <v>352.8</v>
      </c>
      <c r="J30" s="136">
        <f t="shared" ref="J30:J46" si="9">I30</f>
        <v>352.8</v>
      </c>
      <c r="K30" s="159"/>
      <c r="L30" s="159">
        <v>352.8</v>
      </c>
      <c r="M30" s="159">
        <f t="shared" si="8"/>
        <v>-49647.199999999997</v>
      </c>
      <c r="N30" s="164" t="s">
        <v>60</v>
      </c>
      <c r="O30" s="185">
        <v>50000</v>
      </c>
    </row>
    <row r="31" spans="1:15">
      <c r="A31" s="1" t="s">
        <v>61</v>
      </c>
      <c r="B31" s="1"/>
      <c r="C31" s="95">
        <v>233177</v>
      </c>
      <c r="D31" s="95">
        <v>4000</v>
      </c>
      <c r="E31" s="95">
        <v>229177</v>
      </c>
      <c r="F31" s="1">
        <v>2</v>
      </c>
      <c r="G31" s="136">
        <f t="shared" si="6"/>
        <v>8000</v>
      </c>
      <c r="H31" s="176" t="s">
        <v>61</v>
      </c>
      <c r="I31" s="136">
        <f t="shared" si="7"/>
        <v>237177</v>
      </c>
      <c r="J31" s="136">
        <f t="shared" si="9"/>
        <v>237177</v>
      </c>
      <c r="K31" s="159"/>
      <c r="L31" s="159">
        <v>237177</v>
      </c>
      <c r="M31" s="159">
        <f t="shared" si="8"/>
        <v>37177</v>
      </c>
      <c r="N31" s="164" t="s">
        <v>62</v>
      </c>
      <c r="O31" s="185">
        <v>200000</v>
      </c>
    </row>
    <row r="32" spans="1:15">
      <c r="A32" s="1" t="s">
        <v>63</v>
      </c>
      <c r="B32" s="1"/>
      <c r="C32" s="95">
        <v>205607</v>
      </c>
      <c r="D32" s="95">
        <v>1616</v>
      </c>
      <c r="E32" s="95">
        <v>203991</v>
      </c>
      <c r="F32" s="1">
        <v>2</v>
      </c>
      <c r="G32" s="136">
        <f t="shared" si="6"/>
        <v>3232</v>
      </c>
      <c r="H32" s="176" t="s">
        <v>63</v>
      </c>
      <c r="I32" s="136">
        <f t="shared" si="7"/>
        <v>207223</v>
      </c>
      <c r="J32" s="136">
        <f t="shared" si="9"/>
        <v>207223</v>
      </c>
      <c r="K32" s="159"/>
      <c r="L32" s="159">
        <v>207223</v>
      </c>
      <c r="M32" s="159">
        <f t="shared" si="8"/>
        <v>127223</v>
      </c>
      <c r="N32" s="164" t="s">
        <v>64</v>
      </c>
      <c r="O32" s="185">
        <v>80000</v>
      </c>
    </row>
    <row r="33" spans="1:15">
      <c r="A33" s="1" t="s">
        <v>65</v>
      </c>
      <c r="B33" s="1"/>
      <c r="C33" s="95">
        <v>282985</v>
      </c>
      <c r="D33" s="136">
        <f t="shared" ref="D33:D38" si="10">C33/10</f>
        <v>28298.5</v>
      </c>
      <c r="E33" s="95">
        <v>282985</v>
      </c>
      <c r="F33" s="1">
        <v>2</v>
      </c>
      <c r="G33" s="136">
        <f t="shared" si="6"/>
        <v>56597</v>
      </c>
      <c r="H33" s="176" t="s">
        <v>66</v>
      </c>
      <c r="I33" s="136">
        <f>G34+E34</f>
        <v>6000</v>
      </c>
      <c r="J33" s="136">
        <f t="shared" si="9"/>
        <v>6000</v>
      </c>
      <c r="K33" s="159"/>
      <c r="L33" s="159">
        <v>6000</v>
      </c>
      <c r="M33" s="159">
        <f t="shared" si="8"/>
        <v>5999</v>
      </c>
      <c r="N33" s="164" t="s">
        <v>67</v>
      </c>
      <c r="O33" s="185">
        <v>1</v>
      </c>
    </row>
    <row r="34" spans="1:15">
      <c r="A34" s="1" t="s">
        <v>66</v>
      </c>
      <c r="B34" s="1"/>
      <c r="C34" s="95">
        <v>5000</v>
      </c>
      <c r="D34" s="136">
        <f t="shared" si="10"/>
        <v>500</v>
      </c>
      <c r="E34" s="95">
        <v>5000</v>
      </c>
      <c r="F34" s="1">
        <v>2</v>
      </c>
      <c r="G34" s="136">
        <f t="shared" si="6"/>
        <v>1000</v>
      </c>
      <c r="J34" s="136">
        <f t="shared" si="9"/>
        <v>0</v>
      </c>
      <c r="K34" s="159"/>
      <c r="L34" s="193">
        <v>0</v>
      </c>
      <c r="N34" s="164" t="s">
        <v>45</v>
      </c>
      <c r="O34" s="164">
        <v>0</v>
      </c>
    </row>
    <row r="35" spans="1:15">
      <c r="A35" s="1" t="s">
        <v>68</v>
      </c>
      <c r="B35" s="1"/>
      <c r="C35" s="95">
        <v>1155000</v>
      </c>
      <c r="D35" s="136">
        <f t="shared" si="10"/>
        <v>115500</v>
      </c>
      <c r="E35" s="95">
        <v>1155000</v>
      </c>
      <c r="F35" s="1">
        <v>2</v>
      </c>
      <c r="G35" s="136">
        <f t="shared" si="6"/>
        <v>231000</v>
      </c>
      <c r="H35" s="176" t="s">
        <v>65</v>
      </c>
      <c r="I35" s="136">
        <f>G33+E33</f>
        <v>339582</v>
      </c>
      <c r="J35" s="136">
        <f t="shared" si="9"/>
        <v>339582</v>
      </c>
      <c r="K35" s="159"/>
      <c r="L35" s="159">
        <v>339582</v>
      </c>
      <c r="M35" s="159">
        <f t="shared" ref="M35:M45" si="11">I35-O35</f>
        <v>-19631</v>
      </c>
      <c r="N35" s="164" t="s">
        <v>69</v>
      </c>
      <c r="O35" s="185">
        <v>359213</v>
      </c>
    </row>
    <row r="36" spans="1:15">
      <c r="A36" s="1" t="s">
        <v>70</v>
      </c>
      <c r="B36" s="1"/>
      <c r="C36" s="95">
        <v>189200</v>
      </c>
      <c r="D36" s="136">
        <f t="shared" si="10"/>
        <v>18920</v>
      </c>
      <c r="E36" s="95">
        <v>189200</v>
      </c>
      <c r="F36" s="1">
        <v>2</v>
      </c>
      <c r="G36" s="136">
        <f t="shared" si="6"/>
        <v>37840</v>
      </c>
      <c r="J36" s="136">
        <f t="shared" si="9"/>
        <v>0</v>
      </c>
      <c r="K36" s="159"/>
      <c r="L36" s="194">
        <v>0</v>
      </c>
      <c r="M36" s="159">
        <f t="shared" si="11"/>
        <v>-550000</v>
      </c>
      <c r="N36" s="164" t="s">
        <v>71</v>
      </c>
      <c r="O36" s="185">
        <v>550000</v>
      </c>
    </row>
    <row r="37" spans="1:15">
      <c r="A37" s="1" t="s">
        <v>72</v>
      </c>
      <c r="B37" s="1"/>
      <c r="C37" s="95">
        <v>19650</v>
      </c>
      <c r="D37" s="136">
        <f t="shared" si="10"/>
        <v>1965</v>
      </c>
      <c r="E37" s="95">
        <v>19650</v>
      </c>
      <c r="F37" s="1">
        <v>2</v>
      </c>
      <c r="G37" s="136">
        <f t="shared" si="6"/>
        <v>3930</v>
      </c>
      <c r="H37" s="1" t="s">
        <v>73</v>
      </c>
      <c r="I37" s="136">
        <f>G42+E42</f>
        <v>172514.4</v>
      </c>
      <c r="J37" s="136">
        <f t="shared" si="9"/>
        <v>172514.4</v>
      </c>
      <c r="K37" s="159"/>
      <c r="L37" s="159">
        <v>172514.4</v>
      </c>
      <c r="M37" s="159">
        <f t="shared" si="11"/>
        <v>-27485.600000000006</v>
      </c>
      <c r="N37" s="164" t="s">
        <v>74</v>
      </c>
      <c r="O37" s="185">
        <v>200000</v>
      </c>
    </row>
    <row r="38" spans="1:15">
      <c r="A38" s="1" t="s">
        <v>48</v>
      </c>
      <c r="B38" s="1"/>
      <c r="C38" s="95">
        <v>15132</v>
      </c>
      <c r="D38" s="136">
        <f t="shared" si="10"/>
        <v>1513.2</v>
      </c>
      <c r="E38" s="95">
        <v>15132</v>
      </c>
      <c r="F38" s="1">
        <v>2</v>
      </c>
      <c r="G38" s="136">
        <f t="shared" si="6"/>
        <v>3026.4</v>
      </c>
      <c r="H38" s="176" t="s">
        <v>68</v>
      </c>
      <c r="I38" s="136">
        <f t="shared" ref="I38:I44" si="12">G35+E35</f>
        <v>1386000</v>
      </c>
      <c r="J38" s="136">
        <f t="shared" si="9"/>
        <v>1386000</v>
      </c>
      <c r="K38" s="159"/>
      <c r="L38" s="159">
        <v>1386000</v>
      </c>
      <c r="M38" s="159">
        <f t="shared" si="11"/>
        <v>286000</v>
      </c>
      <c r="N38" s="164" t="s">
        <v>75</v>
      </c>
      <c r="O38" s="185">
        <v>1100000</v>
      </c>
    </row>
    <row r="39" spans="1:15">
      <c r="A39" s="1" t="s">
        <v>76</v>
      </c>
      <c r="B39" s="1"/>
      <c r="C39" s="95">
        <v>10505170</v>
      </c>
      <c r="D39" s="95">
        <v>1183130</v>
      </c>
      <c r="E39" s="95">
        <v>9322040</v>
      </c>
      <c r="F39" s="1">
        <v>2</v>
      </c>
      <c r="G39" s="136">
        <f t="shared" si="6"/>
        <v>2366260</v>
      </c>
      <c r="H39" s="176" t="s">
        <v>70</v>
      </c>
      <c r="I39" s="136">
        <f t="shared" si="12"/>
        <v>227040</v>
      </c>
      <c r="J39" s="136">
        <f t="shared" si="9"/>
        <v>227040</v>
      </c>
      <c r="K39" s="159"/>
      <c r="L39" s="159">
        <v>227040</v>
      </c>
      <c r="M39" s="159">
        <f t="shared" si="11"/>
        <v>7040</v>
      </c>
      <c r="N39" s="164" t="s">
        <v>77</v>
      </c>
      <c r="O39" s="185">
        <v>220000</v>
      </c>
    </row>
    <row r="40" spans="1:15">
      <c r="A40" s="1" t="s">
        <v>78</v>
      </c>
      <c r="B40" s="1"/>
      <c r="C40" s="95">
        <v>1000</v>
      </c>
      <c r="D40" s="136">
        <f t="shared" ref="D40:D45" si="13">C40/10</f>
        <v>100</v>
      </c>
      <c r="E40" s="95">
        <v>1000</v>
      </c>
      <c r="F40" s="1">
        <v>2</v>
      </c>
      <c r="G40" s="136">
        <f t="shared" si="6"/>
        <v>200</v>
      </c>
      <c r="H40" s="176" t="s">
        <v>79</v>
      </c>
      <c r="I40" s="136">
        <f t="shared" si="12"/>
        <v>23580</v>
      </c>
      <c r="J40" s="136">
        <f t="shared" si="9"/>
        <v>23580</v>
      </c>
      <c r="K40" s="159"/>
      <c r="L40" s="159">
        <v>23580</v>
      </c>
      <c r="M40" s="159">
        <f t="shared" si="11"/>
        <v>4580</v>
      </c>
      <c r="N40" s="164" t="s">
        <v>51</v>
      </c>
      <c r="O40" s="185">
        <v>19000</v>
      </c>
    </row>
    <row r="41" spans="1:15">
      <c r="A41" s="1" t="s">
        <v>80</v>
      </c>
      <c r="B41" s="1"/>
      <c r="C41" s="95">
        <v>366289</v>
      </c>
      <c r="D41" s="136">
        <f t="shared" si="13"/>
        <v>36628.9</v>
      </c>
      <c r="E41" s="95">
        <v>366289</v>
      </c>
      <c r="F41" s="1">
        <v>2</v>
      </c>
      <c r="G41" s="136">
        <f t="shared" si="6"/>
        <v>73257.8</v>
      </c>
      <c r="H41" s="176" t="s">
        <v>48</v>
      </c>
      <c r="I41" s="136">
        <f t="shared" si="12"/>
        <v>18158.400000000001</v>
      </c>
      <c r="J41" s="136">
        <f t="shared" si="9"/>
        <v>18158.400000000001</v>
      </c>
      <c r="K41" s="159"/>
      <c r="L41" s="159">
        <v>18158.400000000001</v>
      </c>
      <c r="M41" s="159">
        <f t="shared" si="11"/>
        <v>2158.4000000000015</v>
      </c>
      <c r="N41" s="164" t="s">
        <v>81</v>
      </c>
      <c r="O41" s="185">
        <v>16000</v>
      </c>
    </row>
    <row r="42" spans="1:15">
      <c r="A42" s="1" t="s">
        <v>73</v>
      </c>
      <c r="B42" s="1"/>
      <c r="C42" s="95">
        <v>143762</v>
      </c>
      <c r="D42" s="136">
        <f t="shared" si="13"/>
        <v>14376.2</v>
      </c>
      <c r="E42" s="95">
        <v>143762</v>
      </c>
      <c r="F42" s="1">
        <v>2</v>
      </c>
      <c r="G42" s="136">
        <f t="shared" si="6"/>
        <v>28752.400000000001</v>
      </c>
      <c r="H42" s="176" t="s">
        <v>76</v>
      </c>
      <c r="I42" s="136">
        <f t="shared" si="12"/>
        <v>11688300</v>
      </c>
      <c r="J42" s="136">
        <f>L42</f>
        <v>13388300</v>
      </c>
      <c r="K42" s="159"/>
      <c r="L42" s="159">
        <v>13388300</v>
      </c>
      <c r="M42" s="159">
        <f t="shared" si="11"/>
        <v>-579300</v>
      </c>
      <c r="N42" s="164" t="s">
        <v>82</v>
      </c>
      <c r="O42" s="185">
        <v>12267600</v>
      </c>
    </row>
    <row r="43" spans="1:15">
      <c r="A43" s="1" t="s">
        <v>50</v>
      </c>
      <c r="B43" s="1"/>
      <c r="C43" s="95">
        <v>4910</v>
      </c>
      <c r="D43" s="136">
        <f t="shared" si="13"/>
        <v>491</v>
      </c>
      <c r="E43" s="95">
        <v>4910</v>
      </c>
      <c r="F43" s="1">
        <v>2</v>
      </c>
      <c r="G43" s="136">
        <f t="shared" si="6"/>
        <v>982</v>
      </c>
      <c r="H43" s="176" t="s">
        <v>78</v>
      </c>
      <c r="I43" s="136">
        <f t="shared" si="12"/>
        <v>1200</v>
      </c>
      <c r="J43" s="136">
        <f t="shared" si="9"/>
        <v>1200</v>
      </c>
      <c r="K43" s="159"/>
      <c r="L43" s="159">
        <v>1200</v>
      </c>
      <c r="M43" s="159">
        <f t="shared" si="11"/>
        <v>-30800</v>
      </c>
      <c r="N43" s="164" t="s">
        <v>83</v>
      </c>
      <c r="O43" s="185">
        <v>32000</v>
      </c>
    </row>
    <row r="44" spans="1:15">
      <c r="A44" s="101" t="s">
        <v>84</v>
      </c>
      <c r="B44" s="101"/>
      <c r="C44" s="165">
        <v>89508309</v>
      </c>
      <c r="D44" s="179">
        <f t="shared" si="13"/>
        <v>8950830.9000000004</v>
      </c>
      <c r="E44" s="165">
        <v>88319563</v>
      </c>
      <c r="F44" s="1">
        <v>2</v>
      </c>
      <c r="G44" s="136">
        <f t="shared" si="6"/>
        <v>17901661.800000001</v>
      </c>
      <c r="H44" s="176" t="s">
        <v>80</v>
      </c>
      <c r="I44" s="136">
        <f t="shared" si="12"/>
        <v>439546.8</v>
      </c>
      <c r="J44" s="136">
        <f t="shared" si="9"/>
        <v>439546.8</v>
      </c>
      <c r="K44" s="159"/>
      <c r="L44" s="159">
        <v>439546.8</v>
      </c>
      <c r="M44" s="159">
        <f t="shared" si="11"/>
        <v>439546.8</v>
      </c>
    </row>
    <row r="45" spans="1:15">
      <c r="A45" s="1" t="s">
        <v>85</v>
      </c>
      <c r="B45" s="1"/>
      <c r="C45" s="95">
        <v>89527679</v>
      </c>
      <c r="D45" s="136">
        <f t="shared" si="13"/>
        <v>8952767.9000000004</v>
      </c>
      <c r="E45" s="95">
        <v>1346671</v>
      </c>
      <c r="F45" s="1">
        <v>2</v>
      </c>
      <c r="G45" s="136">
        <f t="shared" si="6"/>
        <v>17905535.800000001</v>
      </c>
      <c r="H45" s="1" t="s">
        <v>50</v>
      </c>
      <c r="I45" s="136">
        <f>G43+E43</f>
        <v>5892</v>
      </c>
      <c r="J45" s="136">
        <f t="shared" si="9"/>
        <v>5892</v>
      </c>
      <c r="K45" s="159"/>
      <c r="L45" s="159">
        <v>5892</v>
      </c>
      <c r="M45" s="159">
        <f t="shared" si="11"/>
        <v>-94108</v>
      </c>
      <c r="N45" s="164" t="s">
        <v>53</v>
      </c>
      <c r="O45" s="185">
        <v>100000</v>
      </c>
    </row>
    <row r="46" spans="1:15">
      <c r="A46" s="1" t="s">
        <v>86</v>
      </c>
      <c r="B46" s="1"/>
      <c r="C46" s="1">
        <v>47</v>
      </c>
      <c r="D46" s="1">
        <v>47</v>
      </c>
      <c r="E46" s="1"/>
      <c r="H46" s="180" t="s">
        <v>87</v>
      </c>
      <c r="I46" s="195">
        <v>2265325</v>
      </c>
      <c r="J46" s="196">
        <f t="shared" si="9"/>
        <v>2265325</v>
      </c>
      <c r="K46" s="196"/>
      <c r="L46" s="196">
        <f>J46</f>
        <v>2265325</v>
      </c>
      <c r="M46" s="159">
        <f t="shared" ref="M46:M49" si="14">I46-O46</f>
        <v>0</v>
      </c>
      <c r="N46" s="164" t="s">
        <v>88</v>
      </c>
      <c r="O46" s="185">
        <v>2265325</v>
      </c>
    </row>
    <row r="47" spans="1:15">
      <c r="A47" s="1" t="s">
        <v>89</v>
      </c>
      <c r="B47" s="1"/>
      <c r="C47" s="95">
        <v>365211</v>
      </c>
      <c r="D47" s="1"/>
      <c r="E47" s="95">
        <v>365211</v>
      </c>
      <c r="H47" s="101" t="s">
        <v>90</v>
      </c>
      <c r="I47" s="179">
        <f>I12+I18+I27+I46</f>
        <v>106937393.5</v>
      </c>
      <c r="J47" s="197" t="e">
        <f>J12+J18+J27+J46</f>
        <v>#REF!</v>
      </c>
      <c r="K47" s="197" t="e">
        <f>J47</f>
        <v>#REF!</v>
      </c>
      <c r="L47" s="197" t="e">
        <f>L12+L18+L27+L46</f>
        <v>#REF!</v>
      </c>
      <c r="M47" s="159">
        <f t="shared" si="14"/>
        <v>2174432.5</v>
      </c>
      <c r="N47" s="198" t="s">
        <v>90</v>
      </c>
      <c r="O47" s="199">
        <v>104762961</v>
      </c>
    </row>
    <row r="48" spans="1:15">
      <c r="A48" s="1" t="s">
        <v>91</v>
      </c>
      <c r="B48" s="1"/>
      <c r="C48" s="95">
        <v>365211</v>
      </c>
      <c r="D48" s="1"/>
      <c r="E48" s="95">
        <v>365211</v>
      </c>
      <c r="M48" s="159" t="s">
        <v>92</v>
      </c>
    </row>
    <row r="49" spans="1:15">
      <c r="A49" s="1" t="s">
        <v>93</v>
      </c>
      <c r="B49" s="1"/>
      <c r="C49" s="95">
        <v>365211</v>
      </c>
      <c r="D49" s="1"/>
      <c r="E49" s="95">
        <v>365211</v>
      </c>
      <c r="H49" s="115" t="s">
        <v>94</v>
      </c>
      <c r="I49" s="158">
        <f>I9-I47</f>
        <v>2331132.5</v>
      </c>
      <c r="J49" s="200" t="e">
        <f>J9-J47</f>
        <v>#REF!</v>
      </c>
      <c r="K49" s="200" t="e">
        <f>K9-K47</f>
        <v>#REF!</v>
      </c>
      <c r="L49" s="200" t="e">
        <f>L9-L47</f>
        <v>#REF!</v>
      </c>
      <c r="M49" s="159">
        <f t="shared" si="14"/>
        <v>-3745906.5</v>
      </c>
      <c r="N49" s="189" t="s">
        <v>95</v>
      </c>
      <c r="O49" s="201">
        <v>6077039</v>
      </c>
    </row>
    <row r="50" spans="1:15">
      <c r="A50" s="1" t="s">
        <v>96</v>
      </c>
      <c r="B50" s="1"/>
      <c r="C50" s="95">
        <v>365211</v>
      </c>
      <c r="D50" s="1">
        <v>47</v>
      </c>
      <c r="E50" s="95">
        <v>-365164</v>
      </c>
    </row>
    <row r="51" spans="1:15">
      <c r="A51" s="1" t="s">
        <v>97</v>
      </c>
      <c r="B51" s="1"/>
      <c r="C51" s="95">
        <v>89892890</v>
      </c>
      <c r="D51" s="95">
        <v>90874397</v>
      </c>
      <c r="E51" s="95">
        <v>981507</v>
      </c>
    </row>
    <row r="52" spans="1:15">
      <c r="A52" s="1" t="s">
        <v>98</v>
      </c>
      <c r="B52" s="1"/>
      <c r="C52" s="95">
        <v>89892890</v>
      </c>
      <c r="D52" s="95">
        <v>90874397</v>
      </c>
      <c r="E52" s="95">
        <v>981507</v>
      </c>
    </row>
    <row r="53" spans="1:15">
      <c r="A53" s="1" t="s">
        <v>99</v>
      </c>
      <c r="B53" s="1"/>
      <c r="C53" s="95">
        <v>89892890</v>
      </c>
      <c r="D53" s="95">
        <v>90874397</v>
      </c>
      <c r="E53" s="95">
        <v>981507</v>
      </c>
    </row>
    <row r="54" spans="1:15">
      <c r="A54" s="1" t="s">
        <v>100</v>
      </c>
      <c r="B54" s="1"/>
      <c r="C54" s="95">
        <v>15634691</v>
      </c>
      <c r="D54" s="1"/>
      <c r="E54" s="95">
        <v>15634691</v>
      </c>
    </row>
    <row r="55" spans="1:15">
      <c r="A55" s="1" t="s">
        <v>101</v>
      </c>
      <c r="B55" s="95">
        <v>15634691</v>
      </c>
      <c r="C55" s="95">
        <v>89892890</v>
      </c>
      <c r="D55" s="95">
        <v>90874397</v>
      </c>
      <c r="E55" s="95">
        <v>16616198</v>
      </c>
    </row>
    <row r="56" spans="1:15">
      <c r="A56" s="1" t="s">
        <v>102</v>
      </c>
      <c r="B56" s="95">
        <v>15634691</v>
      </c>
      <c r="C56" s="95">
        <v>89892890</v>
      </c>
      <c r="D56" s="95">
        <v>90874397</v>
      </c>
      <c r="E56" s="95">
        <v>16616198</v>
      </c>
    </row>
    <row r="57" spans="1:15">
      <c r="A57" s="255" t="s">
        <v>103</v>
      </c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7"/>
      <c r="N57" s="256"/>
      <c r="O57" s="256"/>
    </row>
    <row r="58" spans="1:15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7"/>
      <c r="N58" s="256"/>
      <c r="O58" s="256"/>
    </row>
    <row r="59" spans="1:15" ht="153" customHeight="1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7"/>
      <c r="N59" s="256"/>
      <c r="O59" s="256"/>
    </row>
    <row r="60" spans="1:15">
      <c r="E60" t="s">
        <v>104</v>
      </c>
    </row>
    <row r="61" spans="1:15">
      <c r="E61" s="1" t="s">
        <v>105</v>
      </c>
      <c r="F61" s="1">
        <v>3</v>
      </c>
      <c r="H61" t="s">
        <v>106</v>
      </c>
      <c r="I61" s="159">
        <v>75198000</v>
      </c>
      <c r="J61" s="159" t="s">
        <v>107</v>
      </c>
      <c r="K61" s="159"/>
      <c r="L61" s="159"/>
    </row>
    <row r="62" spans="1:15">
      <c r="E62" s="1" t="s">
        <v>108</v>
      </c>
      <c r="F62" s="1">
        <v>9</v>
      </c>
      <c r="H62" s="181" t="s">
        <v>109</v>
      </c>
      <c r="I62" s="202">
        <v>82763000</v>
      </c>
      <c r="J62" s="159" t="s">
        <v>110</v>
      </c>
      <c r="K62" s="159"/>
      <c r="L62" s="159"/>
    </row>
    <row r="63" spans="1:15">
      <c r="E63" s="1" t="s">
        <v>111</v>
      </c>
      <c r="F63" s="1">
        <v>10</v>
      </c>
      <c r="H63" t="s">
        <v>112</v>
      </c>
      <c r="I63" s="202">
        <f>I62-I61</f>
        <v>7565000</v>
      </c>
      <c r="J63" s="181" t="s">
        <v>113</v>
      </c>
      <c r="K63" s="181"/>
      <c r="L63" s="181"/>
    </row>
    <row r="64" spans="1:15">
      <c r="E64" s="1" t="s">
        <v>114</v>
      </c>
      <c r="F64" s="1">
        <v>7</v>
      </c>
    </row>
    <row r="65" spans="1:14">
      <c r="E65" s="1" t="s">
        <v>115</v>
      </c>
      <c r="F65" s="1">
        <v>9</v>
      </c>
    </row>
    <row r="66" spans="1:14">
      <c r="E66" s="1" t="s">
        <v>116</v>
      </c>
      <c r="F66" s="1">
        <v>6</v>
      </c>
    </row>
    <row r="67" spans="1:14">
      <c r="E67" s="1"/>
      <c r="F67" s="1">
        <f>SUM(F61:F66)</f>
        <v>44</v>
      </c>
    </row>
    <row r="69" spans="1:14">
      <c r="A69" s="203" t="s">
        <v>117</v>
      </c>
      <c r="E69" s="204" t="s">
        <v>118</v>
      </c>
      <c r="F69" s="205"/>
      <c r="G69" s="1" t="s">
        <v>119</v>
      </c>
      <c r="H69" s="1" t="s">
        <v>120</v>
      </c>
      <c r="M69"/>
      <c r="N69" s="159"/>
    </row>
    <row r="70" spans="1:14">
      <c r="A70" s="206">
        <f>1/3</f>
        <v>0.33333333333333331</v>
      </c>
      <c r="E70" s="205" t="s">
        <v>105</v>
      </c>
      <c r="F70" s="205">
        <v>5</v>
      </c>
      <c r="G70" s="207">
        <f t="shared" ref="G70:G72" si="15">A70*F70</f>
        <v>1.6666666666666665</v>
      </c>
      <c r="H70" s="208">
        <v>2.2999999999999998</v>
      </c>
      <c r="I70" s="160" t="s">
        <v>121</v>
      </c>
      <c r="J70" s="160" t="s">
        <v>122</v>
      </c>
      <c r="K70" s="160"/>
      <c r="L70" s="160"/>
      <c r="M70" s="159" t="s">
        <v>123</v>
      </c>
    </row>
    <row r="71" spans="1:14">
      <c r="A71" s="206">
        <f>1/5</f>
        <v>0.2</v>
      </c>
      <c r="E71" s="205" t="s">
        <v>108</v>
      </c>
      <c r="F71" s="205">
        <v>10</v>
      </c>
      <c r="G71" s="207">
        <f t="shared" si="15"/>
        <v>2</v>
      </c>
      <c r="H71" s="208">
        <v>3</v>
      </c>
      <c r="I71" s="160" t="s">
        <v>124</v>
      </c>
      <c r="J71" s="160" t="s">
        <v>125</v>
      </c>
      <c r="K71" s="160"/>
      <c r="L71" s="160"/>
      <c r="M71" s="159" t="s">
        <v>126</v>
      </c>
    </row>
    <row r="72" spans="1:14">
      <c r="A72" s="206">
        <f>1/5</f>
        <v>0.2</v>
      </c>
      <c r="E72" s="205" t="s">
        <v>111</v>
      </c>
      <c r="F72" s="205">
        <v>10</v>
      </c>
      <c r="G72" s="207">
        <f t="shared" si="15"/>
        <v>2</v>
      </c>
      <c r="H72" s="208">
        <v>3</v>
      </c>
      <c r="I72" s="160" t="s">
        <v>127</v>
      </c>
      <c r="J72" s="160" t="s">
        <v>128</v>
      </c>
      <c r="K72" s="160"/>
      <c r="L72" s="160"/>
      <c r="M72" s="159" t="s">
        <v>129</v>
      </c>
    </row>
    <row r="73" spans="1:14">
      <c r="A73" s="209" t="s">
        <v>130</v>
      </c>
      <c r="E73" s="205" t="s">
        <v>114</v>
      </c>
      <c r="F73" s="205">
        <v>7</v>
      </c>
      <c r="G73" s="210">
        <f>1/15*7</f>
        <v>0.46666666666666667</v>
      </c>
      <c r="H73" s="208">
        <v>2</v>
      </c>
      <c r="I73" s="160" t="s">
        <v>131</v>
      </c>
      <c r="J73" s="160" t="s">
        <v>132</v>
      </c>
      <c r="K73" s="160"/>
      <c r="L73" s="160"/>
      <c r="M73" s="159" t="s">
        <v>133</v>
      </c>
    </row>
    <row r="74" spans="1:14">
      <c r="A74" s="209" t="s">
        <v>134</v>
      </c>
      <c r="E74" s="205" t="s">
        <v>115</v>
      </c>
      <c r="F74" s="205">
        <v>9</v>
      </c>
      <c r="G74" s="210">
        <f>1/20*9</f>
        <v>0.45</v>
      </c>
      <c r="H74" s="208">
        <v>2.5</v>
      </c>
      <c r="I74" s="160" t="s">
        <v>135</v>
      </c>
      <c r="J74" s="200" t="s">
        <v>136</v>
      </c>
      <c r="K74" s="200"/>
      <c r="L74" s="200"/>
      <c r="M74" t="s">
        <v>137</v>
      </c>
    </row>
    <row r="75" spans="1:14">
      <c r="A75" s="209" t="s">
        <v>134</v>
      </c>
      <c r="E75" s="205" t="s">
        <v>116</v>
      </c>
      <c r="F75" s="205">
        <v>6</v>
      </c>
      <c r="G75" s="210">
        <f>1/20*6</f>
        <v>0.30000000000000004</v>
      </c>
      <c r="H75" s="208">
        <v>1.5</v>
      </c>
      <c r="I75" s="160" t="s">
        <v>138</v>
      </c>
      <c r="J75" t="s">
        <v>139</v>
      </c>
    </row>
    <row r="76" spans="1:14">
      <c r="E76" s="205"/>
      <c r="F76" s="205">
        <f>SUM(F70:F75)</f>
        <v>47</v>
      </c>
      <c r="G76" s="195">
        <f>SUM(G70:G75)</f>
        <v>6.8833333333333329</v>
      </c>
      <c r="H76" s="180">
        <f>SUM(H70:H75)</f>
        <v>14.3</v>
      </c>
    </row>
    <row r="77" spans="1:14">
      <c r="H77" t="s">
        <v>140</v>
      </c>
      <c r="I77" s="160" t="s">
        <v>141</v>
      </c>
      <c r="J77" s="160" t="s">
        <v>142</v>
      </c>
      <c r="K77" s="160"/>
      <c r="L77" s="160"/>
    </row>
    <row r="78" spans="1:14">
      <c r="H78" t="s">
        <v>143</v>
      </c>
      <c r="I78" s="160" t="s">
        <v>144</v>
      </c>
      <c r="J78" s="159"/>
      <c r="K78" s="159"/>
      <c r="L78" s="159"/>
      <c r="M78"/>
    </row>
    <row r="79" spans="1:14">
      <c r="H79" t="s">
        <v>145</v>
      </c>
      <c r="I79" s="211" t="s">
        <v>123</v>
      </c>
      <c r="J79" s="159"/>
      <c r="K79" s="159"/>
      <c r="L79" s="159"/>
      <c r="M79"/>
    </row>
    <row r="80" spans="1:14">
      <c r="H80" t="s">
        <v>146</v>
      </c>
      <c r="I80" s="160" t="s">
        <v>147</v>
      </c>
      <c r="J80" s="159" t="s">
        <v>148</v>
      </c>
      <c r="K80" s="159"/>
      <c r="L80" s="159"/>
      <c r="M80" t="s">
        <v>149</v>
      </c>
    </row>
    <row r="81" spans="8:13">
      <c r="H81" t="s">
        <v>150</v>
      </c>
      <c r="I81" s="160" t="s">
        <v>151</v>
      </c>
      <c r="J81" s="159"/>
      <c r="K81" s="159"/>
      <c r="L81" s="159"/>
      <c r="M81"/>
    </row>
    <row r="82" spans="8:13">
      <c r="H82" t="s">
        <v>152</v>
      </c>
      <c r="I82" t="s">
        <v>153</v>
      </c>
      <c r="J82" s="159"/>
      <c r="K82" s="159"/>
      <c r="L82" s="159"/>
      <c r="M82"/>
    </row>
    <row r="83" spans="8:13">
      <c r="H83" t="s">
        <v>154</v>
      </c>
      <c r="I83" t="s">
        <v>155</v>
      </c>
      <c r="J83" s="159"/>
      <c r="K83" s="159"/>
      <c r="L83" s="159"/>
      <c r="M83"/>
    </row>
    <row r="84" spans="8:13">
      <c r="J84" s="200"/>
      <c r="K84" s="200"/>
      <c r="L84" s="200"/>
      <c r="M84" t="s">
        <v>156</v>
      </c>
    </row>
  </sheetData>
  <mergeCells count="2">
    <mergeCell ref="A1:E1"/>
    <mergeCell ref="A57:O59"/>
  </mergeCells>
  <phoneticPr fontId="34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8CBAD"/>
    <pageSetUpPr fitToPage="1"/>
  </sheetPr>
  <dimension ref="A1:W48"/>
  <sheetViews>
    <sheetView zoomScale="85" zoomScaleNormal="85" workbookViewId="0">
      <pane xSplit="4" ySplit="4" topLeftCell="E5" activePane="bottomRight" state="frozen"/>
      <selection activeCell="D54" sqref="D54"/>
      <selection pane="topRight" activeCell="D54" sqref="D54"/>
      <selection pane="bottomLeft" activeCell="D54" sqref="D54"/>
      <selection pane="bottomRight" activeCell="D54" sqref="D54"/>
    </sheetView>
  </sheetViews>
  <sheetFormatPr defaultColWidth="9" defaultRowHeight="13.5"/>
  <cols>
    <col min="1" max="1" width="12.625" customWidth="1"/>
    <col min="3" max="3" width="14.375" customWidth="1"/>
    <col min="4" max="4" width="13.125" customWidth="1"/>
    <col min="5" max="7" width="9.125" customWidth="1"/>
    <col min="8" max="8" width="9.375" customWidth="1"/>
    <col min="9" max="9" width="9.875" customWidth="1"/>
    <col min="10" max="11" width="9.125" style="85" customWidth="1"/>
    <col min="12" max="12" width="9.375" customWidth="1"/>
    <col min="13" max="13" width="13.625" customWidth="1"/>
    <col min="14" max="14" width="9.125" customWidth="1"/>
    <col min="15" max="15" width="9.375" customWidth="1"/>
    <col min="16" max="16" width="11" customWidth="1"/>
    <col min="17" max="17" width="10.625" customWidth="1"/>
    <col min="18" max="18" width="9.125" customWidth="1"/>
    <col min="19" max="19" width="9.375" customWidth="1"/>
    <col min="20" max="20" width="11" customWidth="1"/>
    <col min="21" max="21" width="11.875" customWidth="1"/>
    <col min="22" max="22" width="19.125" customWidth="1"/>
    <col min="23" max="23" width="11.875" customWidth="1"/>
  </cols>
  <sheetData>
    <row r="1" spans="1:23" s="84" customFormat="1" ht="24.75" customHeight="1">
      <c r="A1" t="s">
        <v>157</v>
      </c>
      <c r="B1" t="s">
        <v>158</v>
      </c>
      <c r="J1" s="121"/>
      <c r="K1" s="121"/>
      <c r="L1" s="122"/>
      <c r="U1" s="147">
        <v>45748</v>
      </c>
    </row>
    <row r="2" spans="1:23" s="84" customFormat="1" ht="17.25">
      <c r="A2" s="86"/>
      <c r="B2" s="87" t="s">
        <v>159</v>
      </c>
      <c r="J2" s="123"/>
      <c r="K2" s="123"/>
      <c r="U2" s="148"/>
    </row>
    <row r="3" spans="1:23" s="84" customFormat="1" ht="17.25">
      <c r="A3" s="88"/>
      <c r="B3" s="87" t="s">
        <v>160</v>
      </c>
      <c r="J3" s="124" t="s">
        <v>161</v>
      </c>
      <c r="K3" s="123"/>
      <c r="U3" s="148"/>
      <c r="W3" s="124" t="s">
        <v>162</v>
      </c>
    </row>
    <row r="4" spans="1:23" ht="27">
      <c r="A4" s="89" t="s">
        <v>163</v>
      </c>
      <c r="B4" s="89" t="s">
        <v>164</v>
      </c>
      <c r="C4" s="89" t="s">
        <v>165</v>
      </c>
      <c r="D4" s="90" t="s">
        <v>166</v>
      </c>
      <c r="E4" s="91" t="s">
        <v>167</v>
      </c>
      <c r="F4" s="92" t="s">
        <v>168</v>
      </c>
      <c r="G4" s="91" t="s">
        <v>169</v>
      </c>
      <c r="H4" s="93" t="s">
        <v>170</v>
      </c>
      <c r="I4" s="93" t="s">
        <v>171</v>
      </c>
      <c r="J4" s="125" t="s">
        <v>172</v>
      </c>
      <c r="K4" s="126" t="s">
        <v>173</v>
      </c>
      <c r="L4" s="127" t="s">
        <v>174</v>
      </c>
      <c r="M4" s="258" t="s">
        <v>175</v>
      </c>
      <c r="N4" s="259"/>
      <c r="O4" s="93" t="s">
        <v>176</v>
      </c>
      <c r="P4" s="93" t="s">
        <v>177</v>
      </c>
      <c r="Q4" s="149" t="s">
        <v>178</v>
      </c>
      <c r="R4" s="127" t="s">
        <v>179</v>
      </c>
      <c r="S4" s="127" t="s">
        <v>180</v>
      </c>
      <c r="T4" s="149" t="s">
        <v>181</v>
      </c>
      <c r="W4" s="150" t="s">
        <v>182</v>
      </c>
    </row>
    <row r="5" spans="1:23" ht="129" customHeight="1">
      <c r="A5" s="94">
        <v>200000</v>
      </c>
      <c r="B5" s="94">
        <v>1500</v>
      </c>
      <c r="C5" s="94">
        <v>3000</v>
      </c>
      <c r="D5" s="1" t="s">
        <v>183</v>
      </c>
      <c r="E5" s="1">
        <v>28</v>
      </c>
      <c r="F5" s="95">
        <f t="shared" ref="F5:F12" si="0">B5*(E5-1)</f>
        <v>40500</v>
      </c>
      <c r="G5" s="1">
        <v>17</v>
      </c>
      <c r="H5" s="95">
        <f>VLOOKUP('給与体系 '!G5,勤続加算!$A$1:$B$31,2,FALSE)</f>
        <v>15000</v>
      </c>
      <c r="I5" s="95">
        <f t="shared" ref="I5:I11" si="1">A5+F5+H5</f>
        <v>255500</v>
      </c>
      <c r="J5" s="2">
        <v>0</v>
      </c>
      <c r="K5" s="2">
        <v>0</v>
      </c>
      <c r="L5" s="2">
        <v>0</v>
      </c>
      <c r="M5" s="128">
        <v>0</v>
      </c>
      <c r="N5" s="129" t="s">
        <v>184</v>
      </c>
      <c r="O5" s="95">
        <f>I5+J5+K5+L5+168110</f>
        <v>423610</v>
      </c>
      <c r="P5" s="95">
        <f>O5*12</f>
        <v>5083320</v>
      </c>
      <c r="Q5" s="95">
        <f>I5*2</f>
        <v>511000</v>
      </c>
      <c r="R5" s="1">
        <v>0</v>
      </c>
      <c r="S5" s="2">
        <f>34400*2</f>
        <v>68800</v>
      </c>
      <c r="T5" s="95">
        <f t="shared" ref="T5:T12" si="2">P5+Q5+R5+S5</f>
        <v>5663120</v>
      </c>
      <c r="W5" s="95">
        <f>12000*12</f>
        <v>144000</v>
      </c>
    </row>
    <row r="6" spans="1:23" ht="105.95" customHeight="1">
      <c r="A6" s="94">
        <v>200000</v>
      </c>
      <c r="B6" s="94">
        <v>1500</v>
      </c>
      <c r="C6" s="94">
        <v>3000</v>
      </c>
      <c r="D6" s="1" t="s">
        <v>185</v>
      </c>
      <c r="E6" s="1">
        <v>27</v>
      </c>
      <c r="F6" s="95">
        <f t="shared" si="0"/>
        <v>39000</v>
      </c>
      <c r="G6" s="1">
        <v>27</v>
      </c>
      <c r="H6" s="95">
        <f>VLOOKUP('給与体系 '!G6,勤続加算!$A$1:$B$31,2,FALSE)</f>
        <v>31500</v>
      </c>
      <c r="I6" s="95">
        <f t="shared" si="1"/>
        <v>270500</v>
      </c>
      <c r="J6" s="130">
        <v>27000</v>
      </c>
      <c r="K6" s="130">
        <v>0</v>
      </c>
      <c r="L6" s="2">
        <v>7000</v>
      </c>
      <c r="M6" s="131">
        <v>5500</v>
      </c>
      <c r="N6" s="132" t="s">
        <v>186</v>
      </c>
      <c r="O6" s="95">
        <f>I6+J6+K6+L6+72300</f>
        <v>376800</v>
      </c>
      <c r="P6" s="95">
        <f>O6*12</f>
        <v>4521600</v>
      </c>
      <c r="Q6" s="95">
        <f>I6*2</f>
        <v>541000</v>
      </c>
      <c r="R6" s="151">
        <f t="shared" ref="R6:R12" si="3">47720+49840</f>
        <v>97560</v>
      </c>
      <c r="S6" s="2">
        <v>0</v>
      </c>
      <c r="T6" s="95">
        <f t="shared" si="2"/>
        <v>5160160</v>
      </c>
      <c r="W6" s="95">
        <f>12000*12</f>
        <v>144000</v>
      </c>
    </row>
    <row r="7" spans="1:23" ht="74.099999999999994" customHeight="1">
      <c r="A7" s="94">
        <v>200000</v>
      </c>
      <c r="B7" s="94">
        <v>1500</v>
      </c>
      <c r="C7" s="94">
        <v>3000</v>
      </c>
      <c r="D7" s="96" t="s">
        <v>187</v>
      </c>
      <c r="E7" s="94">
        <v>12</v>
      </c>
      <c r="F7" s="94">
        <f t="shared" si="0"/>
        <v>16500</v>
      </c>
      <c r="G7" s="94">
        <v>12</v>
      </c>
      <c r="H7" s="94">
        <f>VLOOKUP('給与体系 '!G7,勤続加算!$A$1:$B$31,2,FALSE)</f>
        <v>12000</v>
      </c>
      <c r="I7" s="94">
        <f t="shared" si="1"/>
        <v>228500</v>
      </c>
      <c r="J7" s="110">
        <v>45100</v>
      </c>
      <c r="K7" s="133">
        <v>0</v>
      </c>
      <c r="L7" s="2">
        <v>0</v>
      </c>
      <c r="M7" s="134">
        <v>5500</v>
      </c>
      <c r="N7" s="135" t="s">
        <v>188</v>
      </c>
      <c r="O7" s="94">
        <f>I7+J7+K7+L7+60000</f>
        <v>333600</v>
      </c>
      <c r="P7" s="94">
        <f t="shared" ref="P7:P12" si="4">O7*12</f>
        <v>4003200</v>
      </c>
      <c r="Q7" s="94">
        <f t="shared" ref="Q7:Q11" si="5">I7*2</f>
        <v>457000</v>
      </c>
      <c r="R7" s="151">
        <f t="shared" si="3"/>
        <v>97560</v>
      </c>
      <c r="S7" s="133">
        <v>0</v>
      </c>
      <c r="T7" s="95">
        <f t="shared" si="2"/>
        <v>4557760</v>
      </c>
      <c r="W7" s="95">
        <f>8000*12</f>
        <v>96000</v>
      </c>
    </row>
    <row r="8" spans="1:23" ht="18.75">
      <c r="A8" s="94">
        <v>200000</v>
      </c>
      <c r="B8" s="94">
        <v>1500</v>
      </c>
      <c r="C8" s="94">
        <v>3000</v>
      </c>
      <c r="D8" s="1" t="s">
        <v>189</v>
      </c>
      <c r="E8" s="94">
        <v>19</v>
      </c>
      <c r="F8" s="94">
        <f t="shared" si="0"/>
        <v>27000</v>
      </c>
      <c r="G8" s="94">
        <v>9</v>
      </c>
      <c r="H8" s="94">
        <f>VLOOKUP('給与体系 '!G8,勤続加算!$A$1:$B$31,2,FALSE)</f>
        <v>9000</v>
      </c>
      <c r="I8" s="94">
        <f t="shared" si="1"/>
        <v>236000</v>
      </c>
      <c r="J8" s="110">
        <f t="shared" ref="J8:J12" si="6">J7</f>
        <v>45100</v>
      </c>
      <c r="K8" s="2">
        <v>40000</v>
      </c>
      <c r="L8" s="2">
        <v>5500</v>
      </c>
      <c r="M8" s="94">
        <v>0</v>
      </c>
      <c r="N8" s="94"/>
      <c r="O8" s="136">
        <f t="shared" ref="O8:O12" si="7">I8+J8+K8+L8+M8</f>
        <v>326600</v>
      </c>
      <c r="P8" s="94">
        <f t="shared" si="4"/>
        <v>3919200</v>
      </c>
      <c r="Q8" s="94">
        <f t="shared" si="5"/>
        <v>472000</v>
      </c>
      <c r="R8" s="151">
        <f t="shared" si="3"/>
        <v>97560</v>
      </c>
      <c r="S8" s="133">
        <v>0</v>
      </c>
      <c r="T8" s="95">
        <f t="shared" si="2"/>
        <v>4488760</v>
      </c>
      <c r="V8" s="152"/>
      <c r="W8" s="95">
        <f>8000*12</f>
        <v>96000</v>
      </c>
    </row>
    <row r="9" spans="1:23" ht="18.75">
      <c r="A9" s="94">
        <v>200000</v>
      </c>
      <c r="B9" s="94">
        <v>1500</v>
      </c>
      <c r="C9" s="94">
        <v>3000</v>
      </c>
      <c r="D9" s="1" t="s">
        <v>190</v>
      </c>
      <c r="E9" s="94">
        <v>24</v>
      </c>
      <c r="F9" s="94">
        <f t="shared" si="0"/>
        <v>34500</v>
      </c>
      <c r="G9" s="94">
        <v>24</v>
      </c>
      <c r="H9" s="94">
        <f>VLOOKUP('給与体系 '!G9,勤続加算!$A$1:$B$31,2,FALSE)</f>
        <v>27000</v>
      </c>
      <c r="I9" s="94">
        <f t="shared" si="1"/>
        <v>261500</v>
      </c>
      <c r="J9" s="110">
        <f t="shared" si="6"/>
        <v>45100</v>
      </c>
      <c r="K9" s="130">
        <v>8500</v>
      </c>
      <c r="L9" s="2">
        <v>5500</v>
      </c>
      <c r="M9" s="94">
        <v>0</v>
      </c>
      <c r="N9" s="94"/>
      <c r="O9" s="136">
        <f t="shared" si="7"/>
        <v>320600</v>
      </c>
      <c r="P9" s="94">
        <f>O9*12+S9</f>
        <v>3996480</v>
      </c>
      <c r="Q9" s="94">
        <f t="shared" si="5"/>
        <v>523000</v>
      </c>
      <c r="R9" s="151">
        <f t="shared" si="3"/>
        <v>97560</v>
      </c>
      <c r="S9" s="133">
        <f>74640*2</f>
        <v>149280</v>
      </c>
      <c r="T9" s="95">
        <f t="shared" si="2"/>
        <v>4766320</v>
      </c>
      <c r="V9" s="152"/>
      <c r="W9" s="95">
        <f>10000*12</f>
        <v>120000</v>
      </c>
    </row>
    <row r="10" spans="1:23">
      <c r="A10" s="94">
        <v>200000</v>
      </c>
      <c r="B10" s="94">
        <v>1500</v>
      </c>
      <c r="C10" s="94">
        <v>3000</v>
      </c>
      <c r="D10" s="1" t="s">
        <v>191</v>
      </c>
      <c r="E10" s="94">
        <v>9</v>
      </c>
      <c r="F10" s="94">
        <f t="shared" si="0"/>
        <v>12000</v>
      </c>
      <c r="G10" s="94">
        <v>8</v>
      </c>
      <c r="H10" s="94">
        <f>VLOOKUP('給与体系 '!G10,勤続加算!$A$1:$B$31,2,FALSE)</f>
        <v>6000</v>
      </c>
      <c r="I10" s="94">
        <f t="shared" si="1"/>
        <v>218000</v>
      </c>
      <c r="J10" s="110">
        <f t="shared" si="6"/>
        <v>45100</v>
      </c>
      <c r="K10" s="130">
        <v>8500</v>
      </c>
      <c r="L10" s="2">
        <v>5500</v>
      </c>
      <c r="M10" s="94">
        <v>0</v>
      </c>
      <c r="N10" s="94"/>
      <c r="O10" s="94">
        <f t="shared" si="7"/>
        <v>277100</v>
      </c>
      <c r="P10" s="94">
        <f t="shared" si="4"/>
        <v>3325200</v>
      </c>
      <c r="Q10" s="94">
        <f t="shared" si="5"/>
        <v>436000</v>
      </c>
      <c r="R10" s="151">
        <f t="shared" si="3"/>
        <v>97560</v>
      </c>
      <c r="S10" s="133">
        <v>0</v>
      </c>
      <c r="T10" s="95">
        <f t="shared" si="2"/>
        <v>3858760</v>
      </c>
      <c r="W10" s="95">
        <f>8000*12</f>
        <v>96000</v>
      </c>
    </row>
    <row r="11" spans="1:23">
      <c r="A11" s="94">
        <v>200000</v>
      </c>
      <c r="B11" s="94">
        <v>1500</v>
      </c>
      <c r="C11" s="94">
        <v>3000</v>
      </c>
      <c r="D11" s="1" t="s">
        <v>192</v>
      </c>
      <c r="E11" s="94">
        <v>38</v>
      </c>
      <c r="F11" s="94">
        <f t="shared" si="0"/>
        <v>55500</v>
      </c>
      <c r="G11" s="94">
        <v>4</v>
      </c>
      <c r="H11" s="94">
        <f>VLOOKUP('給与体系 '!G11,勤続加算!$A$1:$B$31,2,FALSE)</f>
        <v>3000</v>
      </c>
      <c r="I11" s="94">
        <f t="shared" si="1"/>
        <v>258500</v>
      </c>
      <c r="J11" s="110">
        <f t="shared" si="6"/>
        <v>45100</v>
      </c>
      <c r="K11" s="130">
        <v>8500</v>
      </c>
      <c r="L11" s="2">
        <v>5500</v>
      </c>
      <c r="M11" s="94">
        <v>0</v>
      </c>
      <c r="N11" s="94"/>
      <c r="O11" s="94">
        <f t="shared" si="7"/>
        <v>317600</v>
      </c>
      <c r="P11" s="94">
        <f t="shared" si="4"/>
        <v>3811200</v>
      </c>
      <c r="Q11" s="94">
        <f t="shared" si="5"/>
        <v>517000</v>
      </c>
      <c r="R11" s="151">
        <f t="shared" si="3"/>
        <v>97560</v>
      </c>
      <c r="S11" s="133">
        <f>70490*2</f>
        <v>140980</v>
      </c>
      <c r="T11" s="95">
        <f t="shared" si="2"/>
        <v>4566740</v>
      </c>
      <c r="V11" s="124"/>
      <c r="W11" s="95">
        <f>8000*12</f>
        <v>96000</v>
      </c>
    </row>
    <row r="12" spans="1:23">
      <c r="A12" s="97">
        <v>200000</v>
      </c>
      <c r="B12" s="97">
        <v>1500</v>
      </c>
      <c r="C12" s="97">
        <v>3000</v>
      </c>
      <c r="D12" s="98" t="s">
        <v>193</v>
      </c>
      <c r="E12" s="99">
        <v>1</v>
      </c>
      <c r="F12" s="94">
        <f t="shared" si="0"/>
        <v>0</v>
      </c>
      <c r="G12" s="99">
        <v>1</v>
      </c>
      <c r="H12" s="94">
        <v>3000</v>
      </c>
      <c r="I12" s="94">
        <f t="shared" ref="I12" si="8">A12+F12+H12</f>
        <v>203000</v>
      </c>
      <c r="J12" s="110">
        <f t="shared" si="6"/>
        <v>45100</v>
      </c>
      <c r="K12" s="130">
        <v>8500</v>
      </c>
      <c r="L12" s="2">
        <v>5500</v>
      </c>
      <c r="M12" s="94">
        <v>0</v>
      </c>
      <c r="N12" s="94"/>
      <c r="O12" s="94">
        <f t="shared" si="7"/>
        <v>262100</v>
      </c>
      <c r="P12" s="94">
        <f t="shared" si="4"/>
        <v>3145200</v>
      </c>
      <c r="Q12" s="94">
        <f>I12*1.3333</f>
        <v>270659.89999999997</v>
      </c>
      <c r="R12" s="151">
        <f t="shared" si="3"/>
        <v>97560</v>
      </c>
      <c r="S12" s="133">
        <f>70490*2</f>
        <v>140980</v>
      </c>
      <c r="T12" s="95">
        <f t="shared" si="2"/>
        <v>3654399.9</v>
      </c>
      <c r="V12" s="153"/>
      <c r="W12" s="94">
        <f>7000*12</f>
        <v>84000</v>
      </c>
    </row>
    <row r="13" spans="1:23">
      <c r="A13" s="100"/>
      <c r="B13" s="100"/>
      <c r="C13" s="100"/>
      <c r="D13" s="101"/>
      <c r="E13" s="100"/>
      <c r="F13" s="100"/>
      <c r="G13" s="100"/>
      <c r="H13" s="100"/>
      <c r="I13" s="100">
        <f>SUM(I5:I12)</f>
        <v>1931500</v>
      </c>
      <c r="J13" s="100">
        <f>SUM(J5:J12)</f>
        <v>297600</v>
      </c>
      <c r="K13" s="100">
        <f>SUM(K5:K12)</f>
        <v>74000</v>
      </c>
      <c r="L13" s="100">
        <f>SUM(L5:L12)</f>
        <v>34500</v>
      </c>
      <c r="M13" s="100">
        <f>SUM(M5:M12)</f>
        <v>11000</v>
      </c>
      <c r="N13" s="100"/>
      <c r="O13" s="100">
        <f t="shared" ref="O13:T13" si="9">SUM(O5:O12)</f>
        <v>2638010</v>
      </c>
      <c r="P13" s="100">
        <f t="shared" si="9"/>
        <v>31805400</v>
      </c>
      <c r="Q13" s="100">
        <f t="shared" si="9"/>
        <v>3727659.9</v>
      </c>
      <c r="R13" s="100">
        <f t="shared" si="9"/>
        <v>682920</v>
      </c>
      <c r="S13" s="154">
        <f t="shared" si="9"/>
        <v>500040</v>
      </c>
      <c r="T13" s="100">
        <f t="shared" si="9"/>
        <v>36716019.899999999</v>
      </c>
      <c r="V13" s="155"/>
      <c r="W13" s="100">
        <f>SUM(W5:W12)</f>
        <v>876000</v>
      </c>
    </row>
    <row r="14" spans="1:23">
      <c r="A14" s="102"/>
      <c r="B14" s="102"/>
      <c r="C14" s="102"/>
      <c r="D14" s="102"/>
      <c r="E14" s="102"/>
      <c r="F14" s="102"/>
      <c r="G14" s="102"/>
      <c r="H14" s="102"/>
      <c r="I14" s="102"/>
      <c r="J14" s="137"/>
      <c r="K14" s="137"/>
      <c r="L14" s="102"/>
      <c r="M14" s="102"/>
      <c r="N14" s="102"/>
      <c r="O14" s="102"/>
      <c r="P14" s="102"/>
      <c r="Q14" s="102"/>
      <c r="R14" s="102"/>
      <c r="S14" s="102"/>
      <c r="T14" s="102"/>
      <c r="W14" s="102"/>
    </row>
    <row r="15" spans="1:23">
      <c r="A15" t="s">
        <v>194</v>
      </c>
      <c r="B15" t="s">
        <v>195</v>
      </c>
      <c r="C15" s="103"/>
      <c r="D15" s="103"/>
      <c r="E15" s="103"/>
      <c r="F15" s="103"/>
      <c r="G15" s="103"/>
      <c r="H15" s="103"/>
      <c r="I15" s="124" t="s">
        <v>161</v>
      </c>
      <c r="J15" s="138"/>
      <c r="K15" s="138"/>
      <c r="L15" s="103"/>
      <c r="M15" s="103"/>
      <c r="N15" s="103"/>
      <c r="O15" s="103"/>
      <c r="P15" s="103"/>
      <c r="Q15" s="103"/>
      <c r="R15" s="103"/>
      <c r="S15" s="103"/>
      <c r="T15" s="156"/>
      <c r="W15" s="147"/>
    </row>
    <row r="16" spans="1:23" ht="40.5">
      <c r="A16" s="104" t="s">
        <v>196</v>
      </c>
      <c r="B16" s="105" t="s">
        <v>197</v>
      </c>
      <c r="C16" s="104" t="s">
        <v>166</v>
      </c>
      <c r="D16" s="106" t="s">
        <v>198</v>
      </c>
      <c r="E16" s="107" t="s">
        <v>169</v>
      </c>
      <c r="F16" s="105" t="s">
        <v>199</v>
      </c>
      <c r="G16" s="105" t="s">
        <v>200</v>
      </c>
      <c r="H16" s="108" t="s">
        <v>171</v>
      </c>
      <c r="I16" s="105" t="s">
        <v>201</v>
      </c>
      <c r="J16" s="139" t="s">
        <v>202</v>
      </c>
      <c r="K16" s="126" t="s">
        <v>174</v>
      </c>
      <c r="L16" s="108" t="s">
        <v>203</v>
      </c>
      <c r="M16" s="104" t="s">
        <v>204</v>
      </c>
      <c r="N16" s="104"/>
      <c r="O16" s="108" t="s">
        <v>205</v>
      </c>
      <c r="P16" s="108" t="s">
        <v>177</v>
      </c>
      <c r="Q16" s="93" t="s">
        <v>206</v>
      </c>
      <c r="R16" s="105" t="s">
        <v>179</v>
      </c>
      <c r="S16" s="139" t="s">
        <v>207</v>
      </c>
      <c r="T16" s="157" t="s">
        <v>181</v>
      </c>
      <c r="W16" s="147"/>
    </row>
    <row r="17" spans="1:23">
      <c r="A17" s="2"/>
      <c r="B17" s="109" t="s">
        <v>208</v>
      </c>
      <c r="C17" s="1" t="s">
        <v>209</v>
      </c>
      <c r="D17" s="110">
        <v>1280</v>
      </c>
      <c r="E17" s="111">
        <v>8</v>
      </c>
      <c r="F17" s="111">
        <v>10</v>
      </c>
      <c r="G17" s="111">
        <f t="shared" ref="G17:G19" si="10">(8*5)*4</f>
        <v>160</v>
      </c>
      <c r="H17" s="111">
        <f t="shared" ref="H17:H23" si="11">D17*G17</f>
        <v>204800</v>
      </c>
      <c r="I17" s="110">
        <v>45100</v>
      </c>
      <c r="J17" s="130">
        <v>8500</v>
      </c>
      <c r="K17" s="2">
        <v>5500</v>
      </c>
      <c r="L17" s="111">
        <f t="shared" ref="L17:L23" si="12">H17+I17+J17+K17</f>
        <v>263900</v>
      </c>
      <c r="M17" s="111">
        <v>0</v>
      </c>
      <c r="N17" s="111"/>
      <c r="O17" s="140">
        <f t="shared" ref="O17:O23" si="13">L17+M17</f>
        <v>263900</v>
      </c>
      <c r="P17" s="140">
        <f t="shared" ref="P17:P23" si="14">O17*12</f>
        <v>3166800</v>
      </c>
      <c r="Q17" s="111">
        <f t="shared" ref="Q17:Q21" si="15">H17*2</f>
        <v>409600</v>
      </c>
      <c r="R17" s="151">
        <f t="shared" ref="R17:R21" si="16">40920+42780</f>
        <v>83700</v>
      </c>
      <c r="S17" s="140">
        <f>28620*2</f>
        <v>57240</v>
      </c>
      <c r="T17" s="111">
        <f t="shared" ref="T17:T23" si="17">P17+Q17+R17+S17</f>
        <v>3717340</v>
      </c>
      <c r="W17" s="147"/>
    </row>
    <row r="18" spans="1:23">
      <c r="A18" s="2"/>
      <c r="B18" s="109" t="s">
        <v>208</v>
      </c>
      <c r="C18" s="1" t="s">
        <v>210</v>
      </c>
      <c r="D18" s="110">
        <v>1260</v>
      </c>
      <c r="E18" s="111">
        <v>6</v>
      </c>
      <c r="F18" s="111">
        <v>10</v>
      </c>
      <c r="G18" s="111">
        <f t="shared" si="10"/>
        <v>160</v>
      </c>
      <c r="H18" s="111">
        <f t="shared" si="11"/>
        <v>201600</v>
      </c>
      <c r="I18" s="110">
        <v>45100</v>
      </c>
      <c r="J18" s="130">
        <v>8500</v>
      </c>
      <c r="K18" s="2">
        <v>5500</v>
      </c>
      <c r="L18" s="111">
        <f t="shared" si="12"/>
        <v>260700</v>
      </c>
      <c r="M18" s="111">
        <v>0</v>
      </c>
      <c r="N18" s="111"/>
      <c r="O18" s="140">
        <f t="shared" si="13"/>
        <v>260700</v>
      </c>
      <c r="P18" s="140">
        <f t="shared" si="14"/>
        <v>3128400</v>
      </c>
      <c r="Q18" s="111">
        <f t="shared" si="15"/>
        <v>403200</v>
      </c>
      <c r="R18" s="151">
        <f t="shared" si="16"/>
        <v>83700</v>
      </c>
      <c r="S18" s="111">
        <v>0</v>
      </c>
      <c r="T18" s="111">
        <f t="shared" si="17"/>
        <v>3615300</v>
      </c>
      <c r="W18" s="147"/>
    </row>
    <row r="19" spans="1:23">
      <c r="A19" s="2"/>
      <c r="B19" s="109" t="s">
        <v>208</v>
      </c>
      <c r="C19" s="1" t="s">
        <v>211</v>
      </c>
      <c r="D19" s="110">
        <v>1240</v>
      </c>
      <c r="E19" s="111">
        <v>4</v>
      </c>
      <c r="F19" s="111">
        <v>10</v>
      </c>
      <c r="G19" s="111">
        <f t="shared" si="10"/>
        <v>160</v>
      </c>
      <c r="H19" s="111">
        <f t="shared" si="11"/>
        <v>198400</v>
      </c>
      <c r="I19" s="110">
        <v>45100</v>
      </c>
      <c r="J19" s="130">
        <v>8500</v>
      </c>
      <c r="K19" s="2">
        <v>5500</v>
      </c>
      <c r="L19" s="111">
        <f t="shared" si="12"/>
        <v>257500</v>
      </c>
      <c r="M19" s="111">
        <v>0</v>
      </c>
      <c r="N19" s="111"/>
      <c r="O19" s="140">
        <f t="shared" si="13"/>
        <v>257500</v>
      </c>
      <c r="P19" s="140">
        <f t="shared" si="14"/>
        <v>3090000</v>
      </c>
      <c r="Q19" s="111">
        <f t="shared" si="15"/>
        <v>396800</v>
      </c>
      <c r="R19" s="151">
        <f t="shared" si="16"/>
        <v>83700</v>
      </c>
      <c r="S19" s="111">
        <v>0</v>
      </c>
      <c r="T19" s="111">
        <f t="shared" si="17"/>
        <v>3570500</v>
      </c>
      <c r="W19" s="147"/>
    </row>
    <row r="20" spans="1:23">
      <c r="A20" s="2"/>
      <c r="B20" s="109" t="s">
        <v>208</v>
      </c>
      <c r="C20" s="1" t="s">
        <v>212</v>
      </c>
      <c r="D20" s="110">
        <v>1250</v>
      </c>
      <c r="E20" s="111">
        <v>5</v>
      </c>
      <c r="F20" s="110">
        <v>10</v>
      </c>
      <c r="G20" s="110">
        <v>145</v>
      </c>
      <c r="H20" s="111">
        <f t="shared" si="11"/>
        <v>181250</v>
      </c>
      <c r="I20" s="110">
        <v>45100</v>
      </c>
      <c r="J20" s="130">
        <v>8500</v>
      </c>
      <c r="K20" s="2">
        <v>5500</v>
      </c>
      <c r="L20" s="111">
        <f t="shared" si="12"/>
        <v>240350</v>
      </c>
      <c r="M20" s="111">
        <v>0</v>
      </c>
      <c r="N20" s="111"/>
      <c r="O20" s="140">
        <f t="shared" si="13"/>
        <v>240350</v>
      </c>
      <c r="P20" s="140">
        <f t="shared" si="14"/>
        <v>2884200</v>
      </c>
      <c r="Q20" s="111">
        <f t="shared" si="15"/>
        <v>362500</v>
      </c>
      <c r="R20" s="151">
        <f t="shared" si="16"/>
        <v>83700</v>
      </c>
      <c r="S20" s="111">
        <v>0</v>
      </c>
      <c r="T20" s="111">
        <f t="shared" si="17"/>
        <v>3330400</v>
      </c>
      <c r="W20" s="147"/>
    </row>
    <row r="21" spans="1:23">
      <c r="A21" s="2"/>
      <c r="B21" s="109" t="s">
        <v>208</v>
      </c>
      <c r="C21" s="109" t="s">
        <v>213</v>
      </c>
      <c r="D21" s="112">
        <v>1240</v>
      </c>
      <c r="E21" s="113">
        <v>7</v>
      </c>
      <c r="F21" s="113">
        <v>10</v>
      </c>
      <c r="G21" s="113">
        <f>(8*5)*4</f>
        <v>160</v>
      </c>
      <c r="H21" s="113">
        <f t="shared" si="11"/>
        <v>198400</v>
      </c>
      <c r="I21" s="110">
        <v>45100</v>
      </c>
      <c r="J21" s="141">
        <v>8500</v>
      </c>
      <c r="K21" s="142">
        <v>5500</v>
      </c>
      <c r="L21" s="113">
        <f t="shared" si="12"/>
        <v>257500</v>
      </c>
      <c r="M21" s="113">
        <v>0</v>
      </c>
      <c r="N21" s="113"/>
      <c r="O21" s="143">
        <f t="shared" si="13"/>
        <v>257500</v>
      </c>
      <c r="P21" s="143">
        <f t="shared" si="14"/>
        <v>3090000</v>
      </c>
      <c r="Q21" s="113">
        <f t="shared" si="15"/>
        <v>396800</v>
      </c>
      <c r="R21" s="113">
        <f t="shared" si="16"/>
        <v>83700</v>
      </c>
      <c r="S21" s="113">
        <v>0</v>
      </c>
      <c r="T21" s="113">
        <f t="shared" si="17"/>
        <v>3570500</v>
      </c>
      <c r="W21" s="147"/>
    </row>
    <row r="22" spans="1:23">
      <c r="A22" s="2"/>
      <c r="B22" s="1" t="s">
        <v>214</v>
      </c>
      <c r="C22" s="1" t="s">
        <v>215</v>
      </c>
      <c r="D22" s="111">
        <v>1200</v>
      </c>
      <c r="E22" s="111">
        <v>7</v>
      </c>
      <c r="F22" s="111">
        <v>0</v>
      </c>
      <c r="G22" s="110">
        <f>(4*3)*4</f>
        <v>48</v>
      </c>
      <c r="H22" s="111">
        <f t="shared" si="11"/>
        <v>57600</v>
      </c>
      <c r="I22" s="111">
        <v>0</v>
      </c>
      <c r="J22" s="140">
        <v>0</v>
      </c>
      <c r="K22" s="2">
        <v>5500</v>
      </c>
      <c r="L22" s="111">
        <f t="shared" si="12"/>
        <v>63100</v>
      </c>
      <c r="M22" s="111">
        <v>0</v>
      </c>
      <c r="N22" s="111"/>
      <c r="O22" s="140">
        <f t="shared" si="13"/>
        <v>63100</v>
      </c>
      <c r="P22" s="140">
        <f t="shared" si="14"/>
        <v>757200</v>
      </c>
      <c r="Q22" s="111">
        <v>0</v>
      </c>
      <c r="R22" s="111">
        <v>0</v>
      </c>
      <c r="S22" s="111">
        <v>0</v>
      </c>
      <c r="T22" s="111">
        <f t="shared" si="17"/>
        <v>757200</v>
      </c>
      <c r="W22" s="147"/>
    </row>
    <row r="23" spans="1:23">
      <c r="A23" s="2"/>
      <c r="B23" s="1" t="s">
        <v>214</v>
      </c>
      <c r="C23" s="1" t="s">
        <v>216</v>
      </c>
      <c r="D23" s="111">
        <v>1200</v>
      </c>
      <c r="E23" s="111">
        <v>4</v>
      </c>
      <c r="F23" s="111">
        <v>0</v>
      </c>
      <c r="G23" s="110">
        <f>(4*3)*4</f>
        <v>48</v>
      </c>
      <c r="H23" s="111">
        <f t="shared" si="11"/>
        <v>57600</v>
      </c>
      <c r="I23" s="111">
        <v>0</v>
      </c>
      <c r="J23" s="140">
        <v>0</v>
      </c>
      <c r="K23" s="2">
        <v>5500</v>
      </c>
      <c r="L23" s="111">
        <f t="shared" si="12"/>
        <v>63100</v>
      </c>
      <c r="M23" s="111">
        <v>0</v>
      </c>
      <c r="N23" s="111"/>
      <c r="O23" s="140">
        <f t="shared" si="13"/>
        <v>63100</v>
      </c>
      <c r="P23" s="140">
        <f t="shared" si="14"/>
        <v>757200</v>
      </c>
      <c r="Q23" s="111">
        <v>0</v>
      </c>
      <c r="R23" s="111">
        <v>0</v>
      </c>
      <c r="S23" s="111">
        <v>0</v>
      </c>
      <c r="T23" s="111">
        <f t="shared" si="17"/>
        <v>757200</v>
      </c>
      <c r="W23" s="147"/>
    </row>
    <row r="24" spans="1:23">
      <c r="A24" s="2"/>
      <c r="B24" s="1" t="s">
        <v>217</v>
      </c>
      <c r="C24" s="1" t="s">
        <v>218</v>
      </c>
      <c r="D24" s="110">
        <v>1110</v>
      </c>
      <c r="E24" s="111">
        <v>1</v>
      </c>
      <c r="F24" s="111">
        <v>10</v>
      </c>
      <c r="G24" s="111">
        <f>(8*5)*4</f>
        <v>160</v>
      </c>
      <c r="H24" s="111">
        <f t="shared" ref="H24:J35" si="18">D24*G24</f>
        <v>177600</v>
      </c>
      <c r="I24" s="110">
        <v>20610</v>
      </c>
      <c r="J24" s="130">
        <v>8500</v>
      </c>
      <c r="K24" s="2">
        <v>5500</v>
      </c>
      <c r="L24" s="111">
        <f t="shared" ref="L24:L35" si="19">H24+I24+J24+K24</f>
        <v>212210</v>
      </c>
      <c r="M24" s="111">
        <v>0</v>
      </c>
      <c r="N24" s="111"/>
      <c r="O24" s="140">
        <f t="shared" ref="O24:O35" si="20">L24+M24</f>
        <v>212210</v>
      </c>
      <c r="P24" s="140">
        <f t="shared" ref="P24:P35" si="21">O24*12</f>
        <v>2546520</v>
      </c>
      <c r="Q24" s="111">
        <f t="shared" ref="Q24:Q35" si="22">H24*2</f>
        <v>355200</v>
      </c>
      <c r="R24" s="151">
        <f t="shared" ref="R24:R25" si="23">40920+42780</f>
        <v>83700</v>
      </c>
      <c r="S24" s="111">
        <v>0</v>
      </c>
      <c r="T24" s="111">
        <f t="shared" ref="T24:T35" si="24">P24+Q24+R24+S24</f>
        <v>2985420</v>
      </c>
      <c r="W24" s="147"/>
    </row>
    <row r="25" spans="1:23">
      <c r="A25" s="2"/>
      <c r="B25" s="1" t="s">
        <v>217</v>
      </c>
      <c r="C25" s="1" t="s">
        <v>219</v>
      </c>
      <c r="D25" s="110">
        <v>1110</v>
      </c>
      <c r="E25" s="111">
        <v>1</v>
      </c>
      <c r="F25" s="111">
        <v>10</v>
      </c>
      <c r="G25" s="111">
        <f>(7.5*5)*4</f>
        <v>150</v>
      </c>
      <c r="H25" s="111">
        <f t="shared" si="18"/>
        <v>166500</v>
      </c>
      <c r="I25" s="110">
        <v>20610</v>
      </c>
      <c r="J25" s="130">
        <v>8500</v>
      </c>
      <c r="K25" s="2">
        <v>5500</v>
      </c>
      <c r="L25" s="111">
        <f t="shared" si="19"/>
        <v>201110</v>
      </c>
      <c r="M25" s="111">
        <v>0</v>
      </c>
      <c r="N25" s="111"/>
      <c r="O25" s="140">
        <f t="shared" si="20"/>
        <v>201110</v>
      </c>
      <c r="P25" s="140">
        <f t="shared" si="21"/>
        <v>2413320</v>
      </c>
      <c r="Q25" s="111">
        <f t="shared" si="22"/>
        <v>333000</v>
      </c>
      <c r="R25" s="151">
        <f t="shared" si="23"/>
        <v>83700</v>
      </c>
      <c r="S25" s="111">
        <v>0</v>
      </c>
      <c r="T25" s="111">
        <f t="shared" si="24"/>
        <v>2830020</v>
      </c>
      <c r="W25" s="147"/>
    </row>
    <row r="26" spans="1:23">
      <c r="A26" s="114"/>
      <c r="B26" s="115" t="s">
        <v>220</v>
      </c>
      <c r="C26" s="115" t="s">
        <v>221</v>
      </c>
      <c r="D26" s="116">
        <v>2000</v>
      </c>
      <c r="E26" s="117">
        <v>1</v>
      </c>
      <c r="F26" s="117">
        <v>0</v>
      </c>
      <c r="G26" s="117">
        <v>80</v>
      </c>
      <c r="H26" s="117">
        <f t="shared" si="18"/>
        <v>160000</v>
      </c>
      <c r="I26" s="116">
        <v>0</v>
      </c>
      <c r="J26" s="116">
        <v>0</v>
      </c>
      <c r="K26" s="116">
        <v>0</v>
      </c>
      <c r="L26" s="117">
        <f t="shared" si="19"/>
        <v>160000</v>
      </c>
      <c r="M26" s="117">
        <v>0</v>
      </c>
      <c r="N26" s="117"/>
      <c r="O26" s="116">
        <f>L26</f>
        <v>160000</v>
      </c>
      <c r="P26" s="116">
        <f t="shared" si="21"/>
        <v>1920000</v>
      </c>
      <c r="Q26" s="117">
        <v>0</v>
      </c>
      <c r="R26" s="117">
        <v>0</v>
      </c>
      <c r="S26" s="117">
        <v>0</v>
      </c>
      <c r="T26" s="111">
        <f t="shared" si="24"/>
        <v>1920000</v>
      </c>
      <c r="W26" s="147"/>
    </row>
    <row r="27" spans="1:23">
      <c r="A27" s="2"/>
      <c r="B27" s="98" t="s">
        <v>222</v>
      </c>
      <c r="C27" s="1" t="s">
        <v>223</v>
      </c>
      <c r="D27" s="110">
        <v>1220</v>
      </c>
      <c r="E27" s="111">
        <v>2</v>
      </c>
      <c r="F27" s="110">
        <v>10</v>
      </c>
      <c r="G27" s="111">
        <f>(6*5)*4</f>
        <v>120</v>
      </c>
      <c r="H27" s="111">
        <f t="shared" si="18"/>
        <v>146400</v>
      </c>
      <c r="I27" s="130">
        <v>27000</v>
      </c>
      <c r="J27" s="130">
        <v>8500</v>
      </c>
      <c r="K27" s="2">
        <v>5500</v>
      </c>
      <c r="L27" s="111">
        <f t="shared" si="19"/>
        <v>187400</v>
      </c>
      <c r="M27" s="111">
        <v>0</v>
      </c>
      <c r="N27" s="111"/>
      <c r="O27" s="140">
        <f t="shared" si="20"/>
        <v>187400</v>
      </c>
      <c r="P27" s="140">
        <f t="shared" si="21"/>
        <v>2248800</v>
      </c>
      <c r="Q27" s="111">
        <f t="shared" si="22"/>
        <v>292800</v>
      </c>
      <c r="R27" s="151">
        <f t="shared" ref="R27:R31" si="25">40920+42780</f>
        <v>83700</v>
      </c>
      <c r="S27" s="140">
        <f>62030*2</f>
        <v>124060</v>
      </c>
      <c r="T27" s="111">
        <f t="shared" si="24"/>
        <v>2749360</v>
      </c>
      <c r="V27" s="119"/>
      <c r="W27" s="147"/>
    </row>
    <row r="28" spans="1:23">
      <c r="A28" s="2"/>
      <c r="B28" s="1" t="s">
        <v>224</v>
      </c>
      <c r="C28" s="1" t="s">
        <v>225</v>
      </c>
      <c r="D28" s="110">
        <v>1280</v>
      </c>
      <c r="E28" s="111">
        <v>8</v>
      </c>
      <c r="F28" s="111">
        <v>10</v>
      </c>
      <c r="G28" s="111">
        <f>(8*5)*4</f>
        <v>160</v>
      </c>
      <c r="H28" s="111">
        <f t="shared" si="18"/>
        <v>204800</v>
      </c>
      <c r="I28" s="110">
        <v>19130</v>
      </c>
      <c r="J28" s="130">
        <v>8500</v>
      </c>
      <c r="K28" s="2">
        <v>5500</v>
      </c>
      <c r="L28" s="111">
        <f t="shared" si="19"/>
        <v>237930</v>
      </c>
      <c r="M28" s="111">
        <v>0</v>
      </c>
      <c r="N28" s="111"/>
      <c r="O28" s="140">
        <f t="shared" si="20"/>
        <v>237930</v>
      </c>
      <c r="P28" s="140">
        <f t="shared" si="21"/>
        <v>2855160</v>
      </c>
      <c r="Q28" s="111">
        <f t="shared" si="22"/>
        <v>409600</v>
      </c>
      <c r="R28" s="151">
        <f t="shared" si="25"/>
        <v>83700</v>
      </c>
      <c r="S28" s="140">
        <f>28620*2</f>
        <v>57240</v>
      </c>
      <c r="T28" s="111">
        <f t="shared" si="24"/>
        <v>3405700</v>
      </c>
      <c r="W28" s="147"/>
    </row>
    <row r="29" spans="1:23">
      <c r="A29" s="2"/>
      <c r="B29" s="1" t="s">
        <v>224</v>
      </c>
      <c r="C29" s="1" t="s">
        <v>226</v>
      </c>
      <c r="D29" s="110">
        <v>1220</v>
      </c>
      <c r="E29" s="111">
        <v>2</v>
      </c>
      <c r="F29" s="111">
        <v>10</v>
      </c>
      <c r="G29" s="111">
        <f>(8*5)*4</f>
        <v>160</v>
      </c>
      <c r="H29" s="111">
        <f t="shared" si="18"/>
        <v>195200</v>
      </c>
      <c r="I29" s="110">
        <v>19130</v>
      </c>
      <c r="J29" s="130">
        <v>8500</v>
      </c>
      <c r="K29" s="2">
        <v>5500</v>
      </c>
      <c r="L29" s="111">
        <f t="shared" si="19"/>
        <v>228330</v>
      </c>
      <c r="M29" s="111">
        <v>0</v>
      </c>
      <c r="N29" s="111"/>
      <c r="O29" s="144">
        <f t="shared" si="20"/>
        <v>228330</v>
      </c>
      <c r="P29" s="144">
        <f t="shared" si="21"/>
        <v>2739960</v>
      </c>
      <c r="Q29" s="111">
        <f t="shared" si="22"/>
        <v>390400</v>
      </c>
      <c r="R29" s="151">
        <f t="shared" si="25"/>
        <v>83700</v>
      </c>
      <c r="S29" s="140">
        <f>25290*2</f>
        <v>50580</v>
      </c>
      <c r="T29" s="111">
        <f t="shared" si="24"/>
        <v>3264640</v>
      </c>
      <c r="W29" s="147"/>
    </row>
    <row r="30" spans="1:23">
      <c r="A30" s="2"/>
      <c r="B30" s="98" t="s">
        <v>224</v>
      </c>
      <c r="C30" s="1" t="s">
        <v>227</v>
      </c>
      <c r="D30" s="110">
        <v>1230</v>
      </c>
      <c r="E30" s="111">
        <v>3</v>
      </c>
      <c r="F30" s="110">
        <v>10</v>
      </c>
      <c r="G30" s="111">
        <f>(6*5)*4</f>
        <v>120</v>
      </c>
      <c r="H30" s="111">
        <f t="shared" si="18"/>
        <v>147600</v>
      </c>
      <c r="I30" s="110">
        <v>19130</v>
      </c>
      <c r="J30" s="130">
        <v>8500</v>
      </c>
      <c r="K30" s="2">
        <v>5500</v>
      </c>
      <c r="L30" s="111">
        <f t="shared" si="19"/>
        <v>180730</v>
      </c>
      <c r="M30" s="111">
        <v>0</v>
      </c>
      <c r="N30" s="111"/>
      <c r="O30" s="144">
        <f t="shared" si="20"/>
        <v>180730</v>
      </c>
      <c r="P30" s="144">
        <f t="shared" si="21"/>
        <v>2168760</v>
      </c>
      <c r="Q30" s="111">
        <f t="shared" si="22"/>
        <v>295200</v>
      </c>
      <c r="R30" s="151">
        <f t="shared" si="25"/>
        <v>83700</v>
      </c>
      <c r="S30" s="111">
        <v>0</v>
      </c>
      <c r="T30" s="111">
        <f t="shared" si="24"/>
        <v>2547660</v>
      </c>
      <c r="W30" s="147"/>
    </row>
    <row r="31" spans="1:23">
      <c r="A31" s="2"/>
      <c r="B31" s="1" t="s">
        <v>228</v>
      </c>
      <c r="C31" s="1" t="s">
        <v>229</v>
      </c>
      <c r="D31" s="110">
        <v>1270</v>
      </c>
      <c r="E31" s="111">
        <v>7</v>
      </c>
      <c r="F31" s="111">
        <v>10</v>
      </c>
      <c r="G31" s="111">
        <f>(6*5)*4</f>
        <v>120</v>
      </c>
      <c r="H31" s="111">
        <f t="shared" si="18"/>
        <v>152400</v>
      </c>
      <c r="I31" s="110">
        <v>20610</v>
      </c>
      <c r="J31" s="130">
        <v>8500</v>
      </c>
      <c r="K31" s="2">
        <v>5500</v>
      </c>
      <c r="L31" s="111">
        <f t="shared" si="19"/>
        <v>187010</v>
      </c>
      <c r="M31" s="111">
        <v>0</v>
      </c>
      <c r="N31" s="111"/>
      <c r="O31" s="140">
        <f t="shared" si="20"/>
        <v>187010</v>
      </c>
      <c r="P31" s="140">
        <f t="shared" si="21"/>
        <v>2244120</v>
      </c>
      <c r="Q31" s="111">
        <f t="shared" si="22"/>
        <v>304800</v>
      </c>
      <c r="R31" s="151">
        <f t="shared" si="25"/>
        <v>83700</v>
      </c>
      <c r="S31" s="111">
        <v>0</v>
      </c>
      <c r="T31" s="111">
        <f t="shared" si="24"/>
        <v>2632620</v>
      </c>
      <c r="W31" s="147"/>
    </row>
    <row r="32" spans="1:23">
      <c r="A32" s="2"/>
      <c r="B32" s="1" t="s">
        <v>152</v>
      </c>
      <c r="C32" s="1" t="s">
        <v>230</v>
      </c>
      <c r="D32" s="111">
        <v>1100</v>
      </c>
      <c r="E32" s="111">
        <v>3</v>
      </c>
      <c r="F32" s="111">
        <v>0</v>
      </c>
      <c r="G32" s="111">
        <f>(2*3)*4</f>
        <v>24</v>
      </c>
      <c r="H32" s="111">
        <f t="shared" si="18"/>
        <v>26400</v>
      </c>
      <c r="I32" s="111">
        <v>0</v>
      </c>
      <c r="J32" s="140">
        <v>0</v>
      </c>
      <c r="K32" s="2">
        <v>5500</v>
      </c>
      <c r="L32" s="111">
        <f t="shared" si="19"/>
        <v>31900</v>
      </c>
      <c r="M32" s="111">
        <v>0</v>
      </c>
      <c r="N32" s="111"/>
      <c r="O32" s="140">
        <f t="shared" si="20"/>
        <v>31900</v>
      </c>
      <c r="P32" s="140">
        <f t="shared" si="21"/>
        <v>382800</v>
      </c>
      <c r="Q32" s="111">
        <v>0</v>
      </c>
      <c r="R32" s="111">
        <v>0</v>
      </c>
      <c r="S32" s="111">
        <v>0</v>
      </c>
      <c r="T32" s="111">
        <f t="shared" si="24"/>
        <v>382800</v>
      </c>
      <c r="W32" s="147"/>
    </row>
    <row r="33" spans="1:23">
      <c r="A33" s="2"/>
      <c r="B33" s="1" t="s">
        <v>231</v>
      </c>
      <c r="C33" s="1" t="s">
        <v>232</v>
      </c>
      <c r="D33" s="111">
        <v>0</v>
      </c>
      <c r="E33" s="111">
        <v>0</v>
      </c>
      <c r="F33" s="111">
        <v>0</v>
      </c>
      <c r="G33" s="111">
        <v>0</v>
      </c>
      <c r="H33" s="111">
        <f>D33*G33</f>
        <v>0</v>
      </c>
      <c r="I33" s="111">
        <v>0</v>
      </c>
      <c r="J33" s="140">
        <v>0</v>
      </c>
      <c r="K33" s="140">
        <f t="shared" ref="K33:K35" si="26">SUM(G33:I33)</f>
        <v>0</v>
      </c>
      <c r="L33" s="111">
        <f t="shared" si="19"/>
        <v>0</v>
      </c>
      <c r="M33" s="111">
        <v>0</v>
      </c>
      <c r="N33" s="111"/>
      <c r="O33" s="140"/>
      <c r="P33" s="140"/>
      <c r="Q33" s="111"/>
      <c r="R33" s="111"/>
      <c r="S33" s="111"/>
      <c r="T33" s="111"/>
      <c r="W33" s="147"/>
    </row>
    <row r="34" spans="1:23">
      <c r="A34" s="98" t="s">
        <v>233</v>
      </c>
      <c r="B34" s="1"/>
      <c r="C34" s="1"/>
      <c r="D34" s="111"/>
      <c r="E34" s="111"/>
      <c r="F34" s="111"/>
      <c r="G34" s="111"/>
      <c r="H34" s="111">
        <f t="shared" si="18"/>
        <v>0</v>
      </c>
      <c r="I34" s="111">
        <f t="shared" si="18"/>
        <v>0</v>
      </c>
      <c r="J34" s="111">
        <f t="shared" si="18"/>
        <v>0</v>
      </c>
      <c r="K34" s="140">
        <f t="shared" si="26"/>
        <v>0</v>
      </c>
      <c r="L34" s="111">
        <f t="shared" si="19"/>
        <v>0</v>
      </c>
      <c r="M34" s="111">
        <v>0</v>
      </c>
      <c r="N34" s="111"/>
      <c r="O34" s="140"/>
      <c r="P34" s="140"/>
      <c r="Q34" s="111"/>
      <c r="R34" s="111"/>
      <c r="S34" s="111"/>
      <c r="T34" s="111"/>
      <c r="W34" s="147"/>
    </row>
    <row r="35" spans="1:23">
      <c r="A35" s="98" t="s">
        <v>233</v>
      </c>
      <c r="B35" s="1"/>
      <c r="C35" s="1"/>
      <c r="D35" s="111"/>
      <c r="E35" s="111"/>
      <c r="F35" s="111"/>
      <c r="G35" s="111"/>
      <c r="H35" s="111">
        <f t="shared" si="18"/>
        <v>0</v>
      </c>
      <c r="I35" s="111">
        <f t="shared" si="18"/>
        <v>0</v>
      </c>
      <c r="J35" s="111">
        <f t="shared" si="18"/>
        <v>0</v>
      </c>
      <c r="K35" s="140">
        <f t="shared" si="26"/>
        <v>0</v>
      </c>
      <c r="L35" s="111">
        <f t="shared" si="19"/>
        <v>0</v>
      </c>
      <c r="M35" s="111">
        <v>0</v>
      </c>
      <c r="N35" s="111"/>
      <c r="O35" s="140">
        <f t="shared" si="20"/>
        <v>0</v>
      </c>
      <c r="P35" s="140">
        <f t="shared" si="21"/>
        <v>0</v>
      </c>
      <c r="Q35" s="111">
        <f t="shared" si="22"/>
        <v>0</v>
      </c>
      <c r="R35" s="111">
        <v>0</v>
      </c>
      <c r="S35" s="111">
        <v>0</v>
      </c>
      <c r="T35" s="111">
        <f t="shared" si="24"/>
        <v>0</v>
      </c>
      <c r="W35" s="147"/>
    </row>
    <row r="36" spans="1:23">
      <c r="A36" s="101"/>
      <c r="B36" s="101"/>
      <c r="C36" s="101"/>
      <c r="D36" s="118"/>
      <c r="E36" s="118"/>
      <c r="F36" s="118"/>
      <c r="G36" s="118"/>
      <c r="H36" s="118">
        <f t="shared" ref="H36:M36" si="27">SUM(H22:H35)</f>
        <v>1492100</v>
      </c>
      <c r="I36" s="118">
        <f t="shared" si="27"/>
        <v>146220</v>
      </c>
      <c r="J36" s="118">
        <f t="shared" si="27"/>
        <v>59500</v>
      </c>
      <c r="K36" s="118">
        <f t="shared" si="27"/>
        <v>55000</v>
      </c>
      <c r="L36" s="118">
        <f t="shared" si="27"/>
        <v>1752820</v>
      </c>
      <c r="M36" s="118">
        <f t="shared" si="27"/>
        <v>0</v>
      </c>
      <c r="N36" s="118"/>
      <c r="O36" s="118">
        <f t="shared" ref="O36:T36" si="28">SUM(O22:O35)</f>
        <v>1752820</v>
      </c>
      <c r="P36" s="118">
        <f t="shared" si="28"/>
        <v>21033840</v>
      </c>
      <c r="Q36" s="118">
        <f t="shared" si="28"/>
        <v>2381000</v>
      </c>
      <c r="R36" s="118">
        <f t="shared" si="28"/>
        <v>585900</v>
      </c>
      <c r="S36" s="118">
        <f t="shared" si="28"/>
        <v>231880</v>
      </c>
      <c r="T36" s="118">
        <f t="shared" si="28"/>
        <v>24232620</v>
      </c>
      <c r="V36" s="155"/>
      <c r="W36" s="147"/>
    </row>
    <row r="37" spans="1:23">
      <c r="A37" t="s">
        <v>234</v>
      </c>
      <c r="K37" s="85" t="s">
        <v>235</v>
      </c>
      <c r="L37" t="s">
        <v>235</v>
      </c>
      <c r="P37" t="s">
        <v>235</v>
      </c>
    </row>
    <row r="38" spans="1:23">
      <c r="A38" t="s">
        <v>236</v>
      </c>
      <c r="S38">
        <f>V22</f>
        <v>0</v>
      </c>
      <c r="U38" s="114">
        <f>T36+T13+S13+S36</f>
        <v>61680559.899999999</v>
      </c>
      <c r="V38" s="115" t="s">
        <v>237</v>
      </c>
      <c r="W38" s="155" t="s">
        <v>238</v>
      </c>
    </row>
    <row r="39" spans="1:23">
      <c r="A39" t="s">
        <v>239</v>
      </c>
      <c r="U39" s="158">
        <f>Q13+Q36+R36+R13</f>
        <v>7377479.9000000004</v>
      </c>
      <c r="V39" s="115" t="s">
        <v>240</v>
      </c>
      <c r="W39" s="155" t="s">
        <v>238</v>
      </c>
    </row>
    <row r="40" spans="1:23">
      <c r="A40" t="s">
        <v>241</v>
      </c>
      <c r="U40" s="158">
        <f>SUM(U38:U39)</f>
        <v>69058039.799999997</v>
      </c>
      <c r="V40" s="115" t="s">
        <v>242</v>
      </c>
    </row>
    <row r="41" spans="1:23">
      <c r="A41" t="s">
        <v>243</v>
      </c>
    </row>
    <row r="42" spans="1:23">
      <c r="A42" t="s">
        <v>244</v>
      </c>
      <c r="J42" s="145"/>
      <c r="K42" s="145"/>
    </row>
    <row r="43" spans="1:23">
      <c r="A43" t="s">
        <v>245</v>
      </c>
    </row>
    <row r="44" spans="1:23">
      <c r="A44" s="119" t="s">
        <v>246</v>
      </c>
    </row>
    <row r="45" spans="1:23">
      <c r="A45" s="119" t="s">
        <v>247</v>
      </c>
      <c r="G45" s="120"/>
      <c r="J45" s="145"/>
      <c r="K45" s="145"/>
    </row>
    <row r="46" spans="1:23">
      <c r="A46" s="119" t="s">
        <v>248</v>
      </c>
    </row>
    <row r="47" spans="1:23">
      <c r="A47" s="119" t="s">
        <v>249</v>
      </c>
    </row>
    <row r="48" spans="1:23">
      <c r="A48" s="119" t="s">
        <v>250</v>
      </c>
      <c r="J48" s="146"/>
    </row>
  </sheetData>
  <mergeCells count="1">
    <mergeCell ref="M4:N4"/>
  </mergeCells>
  <phoneticPr fontId="34"/>
  <pageMargins left="0.59055118110236204" right="0" top="0" bottom="0" header="0.31496062992126" footer="0.31496062992126"/>
  <pageSetup paperSize="8" scale="79" orientation="landscape"/>
  <headerFoot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B31"/>
  <sheetViews>
    <sheetView workbookViewId="0">
      <selection activeCell="D54" sqref="D54"/>
    </sheetView>
  </sheetViews>
  <sheetFormatPr defaultColWidth="9" defaultRowHeight="13.5"/>
  <sheetData>
    <row r="1" spans="1:2">
      <c r="A1">
        <v>0</v>
      </c>
      <c r="B1">
        <v>0</v>
      </c>
    </row>
    <row r="2" spans="1:2">
      <c r="A2">
        <v>1</v>
      </c>
      <c r="B2">
        <v>0</v>
      </c>
    </row>
    <row r="3" spans="1:2">
      <c r="A3">
        <v>2</v>
      </c>
      <c r="B3">
        <v>0</v>
      </c>
    </row>
    <row r="4" spans="1:2">
      <c r="A4">
        <v>3</v>
      </c>
      <c r="B4">
        <v>3000</v>
      </c>
    </row>
    <row r="5" spans="1:2">
      <c r="A5">
        <v>4</v>
      </c>
      <c r="B5">
        <v>3000</v>
      </c>
    </row>
    <row r="6" spans="1:2">
      <c r="A6">
        <v>5</v>
      </c>
      <c r="B6">
        <v>3000</v>
      </c>
    </row>
    <row r="7" spans="1:2">
      <c r="A7">
        <v>6</v>
      </c>
      <c r="B7">
        <v>6000</v>
      </c>
    </row>
    <row r="8" spans="1:2">
      <c r="A8">
        <v>7</v>
      </c>
      <c r="B8">
        <v>6000</v>
      </c>
    </row>
    <row r="9" spans="1:2">
      <c r="A9">
        <v>8</v>
      </c>
      <c r="B9">
        <v>6000</v>
      </c>
    </row>
    <row r="10" spans="1:2">
      <c r="A10">
        <v>9</v>
      </c>
      <c r="B10">
        <v>9000</v>
      </c>
    </row>
    <row r="11" spans="1:2">
      <c r="A11">
        <v>10</v>
      </c>
      <c r="B11">
        <v>9000</v>
      </c>
    </row>
    <row r="12" spans="1:2">
      <c r="A12">
        <v>11</v>
      </c>
      <c r="B12">
        <v>9000</v>
      </c>
    </row>
    <row r="13" spans="1:2">
      <c r="A13">
        <v>12</v>
      </c>
      <c r="B13">
        <v>12000</v>
      </c>
    </row>
    <row r="14" spans="1:2">
      <c r="A14">
        <v>13</v>
      </c>
      <c r="B14">
        <v>12000</v>
      </c>
    </row>
    <row r="15" spans="1:2">
      <c r="A15">
        <v>14</v>
      </c>
      <c r="B15">
        <v>12000</v>
      </c>
    </row>
    <row r="16" spans="1:2">
      <c r="A16">
        <v>15</v>
      </c>
      <c r="B16">
        <v>15000</v>
      </c>
    </row>
    <row r="17" spans="1:2">
      <c r="A17">
        <v>16</v>
      </c>
      <c r="B17">
        <v>15000</v>
      </c>
    </row>
    <row r="18" spans="1:2">
      <c r="A18">
        <v>17</v>
      </c>
      <c r="B18">
        <v>15000</v>
      </c>
    </row>
    <row r="19" spans="1:2">
      <c r="A19">
        <v>18</v>
      </c>
      <c r="B19">
        <v>18000</v>
      </c>
    </row>
    <row r="20" spans="1:2">
      <c r="A20">
        <v>19</v>
      </c>
      <c r="B20">
        <v>18000</v>
      </c>
    </row>
    <row r="21" spans="1:2">
      <c r="A21">
        <v>20</v>
      </c>
      <c r="B21">
        <v>18000</v>
      </c>
    </row>
    <row r="22" spans="1:2">
      <c r="A22">
        <v>21</v>
      </c>
      <c r="B22" s="83">
        <v>22500</v>
      </c>
    </row>
    <row r="23" spans="1:2">
      <c r="A23">
        <v>22</v>
      </c>
      <c r="B23" s="83">
        <v>22500</v>
      </c>
    </row>
    <row r="24" spans="1:2">
      <c r="A24">
        <v>23</v>
      </c>
      <c r="B24" s="83">
        <v>22500</v>
      </c>
    </row>
    <row r="25" spans="1:2">
      <c r="A25">
        <v>24</v>
      </c>
      <c r="B25" s="83">
        <v>27000</v>
      </c>
    </row>
    <row r="26" spans="1:2">
      <c r="A26">
        <v>25</v>
      </c>
      <c r="B26" s="83">
        <v>27000</v>
      </c>
    </row>
    <row r="27" spans="1:2">
      <c r="A27">
        <v>26</v>
      </c>
      <c r="B27" s="83">
        <v>27000</v>
      </c>
    </row>
    <row r="28" spans="1:2">
      <c r="A28">
        <v>27</v>
      </c>
      <c r="B28" s="83">
        <v>31500</v>
      </c>
    </row>
    <row r="29" spans="1:2">
      <c r="A29">
        <v>28</v>
      </c>
      <c r="B29" s="83">
        <v>31500</v>
      </c>
    </row>
    <row r="30" spans="1:2">
      <c r="A30">
        <v>29</v>
      </c>
      <c r="B30" s="83">
        <v>31500</v>
      </c>
    </row>
    <row r="31" spans="1:2">
      <c r="A31">
        <v>30</v>
      </c>
      <c r="B31" s="83">
        <v>36000</v>
      </c>
    </row>
  </sheetData>
  <sheetProtection sheet="1" objects="1" scenarios="1"/>
  <phoneticPr fontId="34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9"/>
  <sheetViews>
    <sheetView topLeftCell="B36" workbookViewId="0">
      <selection activeCell="D54" sqref="D54"/>
    </sheetView>
  </sheetViews>
  <sheetFormatPr defaultColWidth="7.875" defaultRowHeight="12.75"/>
  <cols>
    <col min="1" max="1" width="1.375" style="4" hidden="1" customWidth="1"/>
    <col min="2" max="2" width="18.625" style="4" customWidth="1"/>
    <col min="3" max="3" width="12.125" style="4" customWidth="1"/>
    <col min="4" max="4" width="12.5" style="4" customWidth="1"/>
    <col min="5" max="5" width="7.875" style="4" customWidth="1"/>
    <col min="6" max="6" width="12.125" style="5" customWidth="1"/>
    <col min="7" max="7" width="7.125" style="4" customWidth="1"/>
    <col min="8" max="8" width="15.5" style="4" customWidth="1"/>
    <col min="9" max="9" width="13.875" style="4" customWidth="1"/>
    <col min="10" max="16384" width="7.875" style="4"/>
  </cols>
  <sheetData>
    <row r="1" spans="1:9" ht="13.35" customHeight="1">
      <c r="A1" s="262" t="s">
        <v>251</v>
      </c>
      <c r="B1" s="262"/>
      <c r="C1" s="262"/>
      <c r="D1" s="262"/>
      <c r="E1" s="263"/>
      <c r="F1" s="263"/>
      <c r="G1" s="263"/>
    </row>
    <row r="2" spans="1:9" ht="12.75" customHeight="1">
      <c r="A2" s="262"/>
      <c r="B2" s="262"/>
      <c r="C2" s="262"/>
      <c r="D2" s="262"/>
      <c r="E2" s="263"/>
      <c r="F2" s="263"/>
      <c r="G2" s="263"/>
    </row>
    <row r="3" spans="1:9" ht="12.75" customHeight="1">
      <c r="A3" s="6"/>
      <c r="B3" s="6"/>
      <c r="C3" s="6"/>
      <c r="D3" s="6"/>
      <c r="E3" s="7"/>
      <c r="F3" s="8">
        <v>45836</v>
      </c>
      <c r="G3" s="7"/>
    </row>
    <row r="4" spans="1:9" ht="23.25" customHeight="1">
      <c r="A4" s="260" t="s">
        <v>252</v>
      </c>
      <c r="B4" s="260" t="s">
        <v>9</v>
      </c>
      <c r="F4" s="10" t="s">
        <v>253</v>
      </c>
      <c r="G4" s="11">
        <f>54/53</f>
        <v>1.0188679245283019</v>
      </c>
    </row>
    <row r="5" spans="1:9" ht="27" customHeight="1">
      <c r="A5" s="265"/>
      <c r="B5" s="261"/>
      <c r="C5" s="12" t="s">
        <v>254</v>
      </c>
      <c r="D5" s="13" t="s">
        <v>255</v>
      </c>
      <c r="E5" s="14" t="s">
        <v>256</v>
      </c>
      <c r="F5" s="15" t="s">
        <v>257</v>
      </c>
      <c r="I5" s="57"/>
    </row>
    <row r="6" spans="1:9" ht="11.1" customHeight="1">
      <c r="A6" s="16" t="s">
        <v>258</v>
      </c>
      <c r="B6" s="17" t="s">
        <v>259</v>
      </c>
      <c r="C6" s="18">
        <f>131665430</f>
        <v>131665430</v>
      </c>
      <c r="D6" s="19">
        <v>149917308</v>
      </c>
      <c r="E6" s="20">
        <v>1</v>
      </c>
      <c r="F6" s="21">
        <f>D6*1.019</f>
        <v>152765736.852</v>
      </c>
    </row>
    <row r="7" spans="1:9" ht="11.1" customHeight="1">
      <c r="A7" s="16" t="s">
        <v>260</v>
      </c>
      <c r="B7" s="17" t="s">
        <v>261</v>
      </c>
      <c r="C7" s="18">
        <v>94469240</v>
      </c>
      <c r="D7" s="19">
        <v>107234230</v>
      </c>
      <c r="E7" s="20">
        <v>0.71499999999999997</v>
      </c>
      <c r="F7" s="22"/>
    </row>
    <row r="8" spans="1:9" ht="11.1" customHeight="1">
      <c r="A8" s="16" t="s">
        <v>262</v>
      </c>
      <c r="B8" s="17" t="s">
        <v>263</v>
      </c>
      <c r="C8" s="18">
        <v>94469240</v>
      </c>
      <c r="D8" s="19">
        <v>107234230</v>
      </c>
      <c r="E8" s="23">
        <v>0.71499999999999997</v>
      </c>
      <c r="F8" s="21">
        <f>D8*1.019</f>
        <v>109271680.36999999</v>
      </c>
      <c r="G8" s="24" t="s">
        <v>264</v>
      </c>
      <c r="H8" s="11"/>
    </row>
    <row r="9" spans="1:9" ht="11.1" customHeight="1">
      <c r="A9" s="16" t="s">
        <v>265</v>
      </c>
      <c r="B9" s="25" t="s">
        <v>266</v>
      </c>
      <c r="C9" s="18">
        <v>1030500</v>
      </c>
      <c r="D9" s="19">
        <v>1381500</v>
      </c>
      <c r="E9" s="20">
        <v>8.9999999999999993E-3</v>
      </c>
      <c r="F9" s="22"/>
    </row>
    <row r="10" spans="1:9" ht="11.1" customHeight="1">
      <c r="A10" s="16" t="s">
        <v>267</v>
      </c>
      <c r="B10" s="26" t="s">
        <v>268</v>
      </c>
      <c r="C10" s="18">
        <v>1030500</v>
      </c>
      <c r="D10" s="19">
        <v>1381500</v>
      </c>
      <c r="E10" s="23">
        <v>8.9999999999999993E-3</v>
      </c>
      <c r="F10" s="21">
        <f>D10*1.019</f>
        <v>1407748.4999999998</v>
      </c>
      <c r="G10" s="24" t="s">
        <v>269</v>
      </c>
      <c r="H10" s="11"/>
    </row>
    <row r="11" spans="1:9" ht="11.1" customHeight="1">
      <c r="A11" s="16" t="s">
        <v>270</v>
      </c>
      <c r="B11" s="27" t="s">
        <v>271</v>
      </c>
      <c r="C11" s="18">
        <v>36165690</v>
      </c>
      <c r="D11" s="19">
        <v>41301578</v>
      </c>
      <c r="E11" s="20">
        <v>0.27500000000000002</v>
      </c>
      <c r="F11" s="22"/>
    </row>
    <row r="12" spans="1:9" ht="11.1" customHeight="1">
      <c r="A12" s="16" t="s">
        <v>272</v>
      </c>
      <c r="B12" s="27" t="s">
        <v>273</v>
      </c>
      <c r="C12" s="18">
        <v>36165690</v>
      </c>
      <c r="D12" s="19">
        <v>41301578</v>
      </c>
      <c r="E12" s="23">
        <v>0.27500000000000002</v>
      </c>
      <c r="F12" s="21">
        <f>D12*1.019</f>
        <v>42086307.981999993</v>
      </c>
      <c r="G12" s="24" t="s">
        <v>274</v>
      </c>
      <c r="H12" s="28"/>
    </row>
    <row r="13" spans="1:9" ht="11.1" customHeight="1">
      <c r="A13" s="16" t="s">
        <v>275</v>
      </c>
      <c r="B13" s="29" t="s">
        <v>276</v>
      </c>
      <c r="C13" s="30">
        <v>131665430</v>
      </c>
      <c r="D13" s="31">
        <v>149917308</v>
      </c>
      <c r="E13" s="32">
        <v>1</v>
      </c>
      <c r="F13" s="33">
        <f>F6</f>
        <v>152765736.852</v>
      </c>
      <c r="G13" s="24" t="s">
        <v>277</v>
      </c>
      <c r="H13" s="28"/>
    </row>
    <row r="14" spans="1:9" ht="27" customHeight="1">
      <c r="A14" s="34"/>
      <c r="B14" s="35"/>
      <c r="C14" s="36"/>
      <c r="D14" s="37"/>
      <c r="E14" s="38"/>
      <c r="F14" s="39" t="s">
        <v>278</v>
      </c>
      <c r="G14" s="40">
        <v>1.1499999999999999</v>
      </c>
    </row>
    <row r="15" spans="1:9" ht="11.1" customHeight="1">
      <c r="A15" s="16" t="s">
        <v>279</v>
      </c>
      <c r="B15" s="41" t="s">
        <v>280</v>
      </c>
      <c r="C15" s="42">
        <v>104721709</v>
      </c>
      <c r="D15" s="42">
        <v>102760875</v>
      </c>
      <c r="E15" s="43">
        <v>0.68700000000000006</v>
      </c>
      <c r="F15" s="44" t="e">
        <f>F20+F19+F18+F17+F16</f>
        <v>#REF!</v>
      </c>
      <c r="G15" s="24" t="s">
        <v>281</v>
      </c>
    </row>
    <row r="16" spans="1:9" ht="11.1" customHeight="1">
      <c r="A16" s="16" t="s">
        <v>282</v>
      </c>
      <c r="B16" s="17" t="s">
        <v>283</v>
      </c>
      <c r="C16" s="18">
        <v>1635000</v>
      </c>
      <c r="D16" s="45">
        <v>1905000</v>
      </c>
      <c r="E16" s="20">
        <v>1.2999999999999999E-2</v>
      </c>
      <c r="F16" s="21">
        <f>D16*1.2</f>
        <v>2286000</v>
      </c>
    </row>
    <row r="17" spans="1:9" ht="11.1" customHeight="1">
      <c r="A17" s="16" t="s">
        <v>284</v>
      </c>
      <c r="B17" s="17" t="s">
        <v>285</v>
      </c>
      <c r="C17" s="18">
        <v>78773018</v>
      </c>
      <c r="D17" s="45">
        <v>77555677</v>
      </c>
      <c r="E17" s="20">
        <v>0.51700000000000002</v>
      </c>
      <c r="F17" s="21" t="e">
        <f>'２６年度予算資料'!#REF!</f>
        <v>#REF!</v>
      </c>
      <c r="G17" s="46"/>
    </row>
    <row r="18" spans="1:9" ht="11.1" customHeight="1">
      <c r="A18" s="16" t="s">
        <v>286</v>
      </c>
      <c r="B18" s="17" t="s">
        <v>287</v>
      </c>
      <c r="C18" s="18">
        <v>8983600</v>
      </c>
      <c r="D18" s="45">
        <v>6574507</v>
      </c>
      <c r="E18" s="20">
        <v>4.3999999999999997E-2</v>
      </c>
      <c r="F18" s="21">
        <v>9801761</v>
      </c>
      <c r="G18" s="46"/>
      <c r="H18" s="28"/>
    </row>
    <row r="19" spans="1:9" ht="11.1" customHeight="1">
      <c r="A19" s="16"/>
      <c r="B19" s="17" t="s">
        <v>288</v>
      </c>
      <c r="C19" s="18">
        <v>2948633</v>
      </c>
      <c r="D19" s="45">
        <v>3943149</v>
      </c>
      <c r="E19" s="20">
        <v>2.5999999999999999E-2</v>
      </c>
      <c r="F19" s="21">
        <f>D19*1.019</f>
        <v>4018068.8309999998</v>
      </c>
      <c r="G19" s="46"/>
      <c r="I19" s="28"/>
    </row>
    <row r="20" spans="1:9" ht="11.1" customHeight="1">
      <c r="A20" s="16" t="s">
        <v>289</v>
      </c>
      <c r="B20" s="17" t="s">
        <v>290</v>
      </c>
      <c r="C20" s="18">
        <v>12381458</v>
      </c>
      <c r="D20" s="45">
        <v>12782542</v>
      </c>
      <c r="E20" s="20">
        <v>8.5000000000000006E-2</v>
      </c>
      <c r="F20" s="21">
        <f t="shared" ref="F20:F28" si="0">D20*1.019</f>
        <v>13025410.297999999</v>
      </c>
      <c r="G20" s="46"/>
      <c r="H20" s="28"/>
    </row>
    <row r="21" spans="1:9" ht="11.1" customHeight="1">
      <c r="A21" s="16" t="s">
        <v>291</v>
      </c>
      <c r="B21" s="41" t="s">
        <v>292</v>
      </c>
      <c r="C21" s="42">
        <f>SUM(C22:C28)</f>
        <v>8241252</v>
      </c>
      <c r="D21" s="42">
        <v>8443772</v>
      </c>
      <c r="E21" s="43">
        <v>5.6000000000000001E-2</v>
      </c>
      <c r="F21" s="44">
        <f>SUM(F22:F28)</f>
        <v>9618690.1999999993</v>
      </c>
      <c r="G21" s="24" t="s">
        <v>293</v>
      </c>
      <c r="I21" s="56"/>
    </row>
    <row r="22" spans="1:9" ht="11.1" customHeight="1">
      <c r="A22" s="16" t="s">
        <v>294</v>
      </c>
      <c r="B22" s="17" t="s">
        <v>295</v>
      </c>
      <c r="C22" s="18">
        <v>3295950</v>
      </c>
      <c r="D22" s="45">
        <v>3340946</v>
      </c>
      <c r="E22" s="20">
        <v>2.1999999999999999E-2</v>
      </c>
      <c r="F22" s="21">
        <f>D22*G14</f>
        <v>3842087.9</v>
      </c>
      <c r="I22" s="56"/>
    </row>
    <row r="23" spans="1:9" ht="11.1" customHeight="1">
      <c r="A23" s="16" t="s">
        <v>296</v>
      </c>
      <c r="B23" s="17" t="s">
        <v>297</v>
      </c>
      <c r="C23" s="18">
        <v>475056</v>
      </c>
      <c r="D23" s="45">
        <v>558694</v>
      </c>
      <c r="E23" s="20">
        <v>2.1999999999999999E-2</v>
      </c>
      <c r="F23" s="21">
        <f>D23*G14</f>
        <v>642498.1</v>
      </c>
      <c r="I23" s="56"/>
    </row>
    <row r="24" spans="1:9" ht="11.1" customHeight="1">
      <c r="A24" s="16" t="s">
        <v>298</v>
      </c>
      <c r="B24" s="17" t="s">
        <v>299</v>
      </c>
      <c r="C24" s="18">
        <v>682697</v>
      </c>
      <c r="D24" s="45">
        <v>570664</v>
      </c>
      <c r="E24" s="20">
        <v>0.4</v>
      </c>
      <c r="F24" s="21">
        <f>D24*G14</f>
        <v>656263.6</v>
      </c>
      <c r="I24" s="56"/>
    </row>
    <row r="25" spans="1:9" ht="11.1" customHeight="1">
      <c r="A25" s="16" t="s">
        <v>300</v>
      </c>
      <c r="B25" s="17" t="s">
        <v>301</v>
      </c>
      <c r="C25" s="18">
        <v>1818538</v>
      </c>
      <c r="D25" s="45">
        <v>1970634</v>
      </c>
      <c r="E25" s="20">
        <v>1.2999999999999999E-2</v>
      </c>
      <c r="F25" s="21">
        <f>D25*115%</f>
        <v>2266229.0999999996</v>
      </c>
      <c r="I25" s="56"/>
    </row>
    <row r="26" spans="1:9" ht="11.1" customHeight="1">
      <c r="A26" s="16" t="s">
        <v>302</v>
      </c>
      <c r="B26" s="17" t="s">
        <v>303</v>
      </c>
      <c r="C26" s="18">
        <v>1155161</v>
      </c>
      <c r="D26" s="45">
        <v>1188984</v>
      </c>
      <c r="E26" s="20">
        <v>8.0000000000000002E-3</v>
      </c>
      <c r="F26" s="21">
        <f>D26*G14</f>
        <v>1367331.5999999999</v>
      </c>
      <c r="I26" s="56"/>
    </row>
    <row r="27" spans="1:9" ht="11.1" customHeight="1">
      <c r="A27" s="16" t="s">
        <v>304</v>
      </c>
      <c r="B27" s="17" t="s">
        <v>305</v>
      </c>
      <c r="C27" s="18">
        <v>114250</v>
      </c>
      <c r="D27" s="45">
        <v>114250</v>
      </c>
      <c r="E27" s="20">
        <v>1E-3</v>
      </c>
      <c r="F27" s="21">
        <f>D27*G14</f>
        <v>131387.5</v>
      </c>
      <c r="I27" s="56"/>
    </row>
    <row r="28" spans="1:9" ht="11.1" customHeight="1">
      <c r="A28" s="16" t="s">
        <v>306</v>
      </c>
      <c r="B28" s="17" t="s">
        <v>307</v>
      </c>
      <c r="C28" s="18">
        <v>699600</v>
      </c>
      <c r="D28" s="18">
        <v>699600</v>
      </c>
      <c r="E28" s="20">
        <v>0.5</v>
      </c>
      <c r="F28" s="21">
        <f t="shared" si="0"/>
        <v>712892.39999999991</v>
      </c>
      <c r="I28" s="56"/>
    </row>
    <row r="29" spans="1:9" ht="11.1" customHeight="1">
      <c r="A29" s="16" t="s">
        <v>308</v>
      </c>
      <c r="B29" s="41" t="s">
        <v>309</v>
      </c>
      <c r="C29" s="44">
        <f>SUM(C30:C47)</f>
        <v>18358751</v>
      </c>
      <c r="D29" s="42">
        <v>18872699</v>
      </c>
      <c r="E29" s="43">
        <v>0.124</v>
      </c>
      <c r="F29" s="44">
        <f>SUM(F30:F47)</f>
        <v>21665672.537999995</v>
      </c>
      <c r="G29" s="24" t="s">
        <v>310</v>
      </c>
      <c r="I29" s="58"/>
    </row>
    <row r="30" spans="1:9" ht="11.1" customHeight="1">
      <c r="A30" s="16" t="s">
        <v>311</v>
      </c>
      <c r="B30" s="17" t="s">
        <v>312</v>
      </c>
      <c r="C30" s="18">
        <v>1153696</v>
      </c>
      <c r="D30" s="18">
        <v>1497567</v>
      </c>
      <c r="E30" s="20">
        <v>8.0000000000000002E-3</v>
      </c>
      <c r="F30" s="21">
        <f>D30*G14</f>
        <v>1722202.0499999998</v>
      </c>
      <c r="I30" s="56"/>
    </row>
    <row r="31" spans="1:9" ht="11.1" customHeight="1">
      <c r="A31" s="16"/>
      <c r="B31" s="17" t="s">
        <v>58</v>
      </c>
      <c r="C31" s="18">
        <v>0</v>
      </c>
      <c r="D31" s="18">
        <v>13387</v>
      </c>
      <c r="E31" s="20" t="s">
        <v>92</v>
      </c>
      <c r="F31" s="21">
        <f>D31*G14</f>
        <v>15395.05</v>
      </c>
      <c r="I31" s="56"/>
    </row>
    <row r="32" spans="1:9" ht="11.1" customHeight="1">
      <c r="A32" s="16" t="s">
        <v>313</v>
      </c>
      <c r="B32" s="17" t="s">
        <v>314</v>
      </c>
      <c r="C32" s="18">
        <v>25200</v>
      </c>
      <c r="D32" s="18">
        <v>18100</v>
      </c>
      <c r="E32" s="20"/>
      <c r="F32" s="21">
        <f>D32*G14</f>
        <v>20815</v>
      </c>
      <c r="I32" s="56"/>
    </row>
    <row r="33" spans="1:9" ht="11.1" customHeight="1">
      <c r="A33" s="16" t="s">
        <v>315</v>
      </c>
      <c r="B33" s="17" t="s">
        <v>316</v>
      </c>
      <c r="C33" s="18">
        <v>343730</v>
      </c>
      <c r="D33" s="18">
        <v>375888</v>
      </c>
      <c r="E33" s="20">
        <v>3.0000000000000001E-3</v>
      </c>
      <c r="F33" s="21">
        <f>D33*G14</f>
        <v>432271.19999999995</v>
      </c>
      <c r="I33" s="56"/>
    </row>
    <row r="34" spans="1:9" ht="11.1" customHeight="1">
      <c r="A34" s="16" t="s">
        <v>317</v>
      </c>
      <c r="B34" s="17" t="s">
        <v>318</v>
      </c>
      <c r="C34" s="18">
        <v>277003</v>
      </c>
      <c r="D34" s="18">
        <v>157552</v>
      </c>
      <c r="E34" s="20">
        <v>1E-3</v>
      </c>
      <c r="F34" s="21">
        <f t="shared" ref="F34:F48" si="1">D34*1.019</f>
        <v>160545.48799999998</v>
      </c>
    </row>
    <row r="35" spans="1:9" ht="11.1" customHeight="1">
      <c r="A35" s="16" t="s">
        <v>319</v>
      </c>
      <c r="B35" s="17" t="s">
        <v>320</v>
      </c>
      <c r="C35" s="47"/>
      <c r="D35" s="18">
        <v>4400</v>
      </c>
      <c r="E35" s="20">
        <v>3.0000000000000001E-3</v>
      </c>
      <c r="F35" s="21">
        <f>D35*G14</f>
        <v>5060</v>
      </c>
    </row>
    <row r="36" spans="1:9" ht="11.1" customHeight="1">
      <c r="A36" s="16" t="s">
        <v>321</v>
      </c>
      <c r="B36" s="17" t="s">
        <v>322</v>
      </c>
      <c r="C36" s="18">
        <v>289754</v>
      </c>
      <c r="D36" s="18">
        <v>284686</v>
      </c>
      <c r="E36" s="20">
        <v>1E-3</v>
      </c>
      <c r="F36" s="21">
        <f>D36*G14</f>
        <v>327388.89999999997</v>
      </c>
    </row>
    <row r="37" spans="1:9" ht="11.1" customHeight="1">
      <c r="A37" s="16" t="s">
        <v>323</v>
      </c>
      <c r="B37" s="17" t="s">
        <v>324</v>
      </c>
      <c r="C37" s="18">
        <v>12436</v>
      </c>
      <c r="D37" s="18">
        <v>19527</v>
      </c>
      <c r="E37" s="20"/>
      <c r="F37" s="21">
        <f>D37*G14</f>
        <v>22456.05</v>
      </c>
    </row>
    <row r="38" spans="1:9" ht="11.1" customHeight="1">
      <c r="A38" s="16" t="s">
        <v>325</v>
      </c>
      <c r="B38" s="17" t="s">
        <v>326</v>
      </c>
      <c r="C38" s="18">
        <v>93820</v>
      </c>
      <c r="D38" s="18">
        <v>286000</v>
      </c>
      <c r="E38" s="20">
        <v>2E-3</v>
      </c>
      <c r="F38" s="21">
        <f>D38*G14</f>
        <v>328900</v>
      </c>
    </row>
    <row r="39" spans="1:9" ht="11.1" customHeight="1">
      <c r="A39" s="16" t="s">
        <v>327</v>
      </c>
      <c r="B39" s="17" t="s">
        <v>328</v>
      </c>
      <c r="C39" s="18">
        <v>1753872</v>
      </c>
      <c r="D39" s="18">
        <v>1787532</v>
      </c>
      <c r="E39" s="20" t="s">
        <v>92</v>
      </c>
      <c r="F39" s="21">
        <f>D39*G14</f>
        <v>2055661.7999999998</v>
      </c>
    </row>
    <row r="40" spans="1:9" ht="11.1" customHeight="1">
      <c r="A40" s="16" t="s">
        <v>329</v>
      </c>
      <c r="B40" s="17" t="s">
        <v>330</v>
      </c>
      <c r="C40" s="18">
        <v>199815</v>
      </c>
      <c r="D40" s="18">
        <v>209240</v>
      </c>
      <c r="E40" s="20">
        <v>1E-3</v>
      </c>
      <c r="F40" s="21">
        <f>D40*G14</f>
        <v>240625.99999999997</v>
      </c>
    </row>
    <row r="41" spans="1:9" ht="11.1" customHeight="1">
      <c r="A41" s="16" t="s">
        <v>331</v>
      </c>
      <c r="B41" s="17" t="s">
        <v>305</v>
      </c>
      <c r="C41" s="18">
        <v>19650</v>
      </c>
      <c r="D41" s="18">
        <v>19650</v>
      </c>
      <c r="E41" s="20"/>
      <c r="F41" s="21">
        <f>D41*G14</f>
        <v>22597.5</v>
      </c>
    </row>
    <row r="42" spans="1:9" ht="11.1" customHeight="1">
      <c r="A42" s="16" t="s">
        <v>332</v>
      </c>
      <c r="B42" s="17" t="s">
        <v>307</v>
      </c>
      <c r="C42" s="18">
        <v>37132</v>
      </c>
      <c r="D42" s="18">
        <v>132000</v>
      </c>
      <c r="E42" s="20">
        <v>1E-3</v>
      </c>
      <c r="F42" s="21">
        <f t="shared" si="1"/>
        <v>134508</v>
      </c>
    </row>
    <row r="43" spans="1:9" ht="11.1" customHeight="1">
      <c r="A43" s="16" t="s">
        <v>333</v>
      </c>
      <c r="B43" s="27" t="s">
        <v>334</v>
      </c>
      <c r="C43" s="18">
        <v>13600989</v>
      </c>
      <c r="D43" s="45">
        <v>13537984</v>
      </c>
      <c r="E43" s="20">
        <v>0.09</v>
      </c>
      <c r="F43" s="21">
        <f>D43*G14</f>
        <v>15568681.6</v>
      </c>
      <c r="I43" s="56"/>
    </row>
    <row r="44" spans="1:9" ht="11.1" customHeight="1">
      <c r="A44" s="16" t="s">
        <v>335</v>
      </c>
      <c r="B44" s="17" t="s">
        <v>336</v>
      </c>
      <c r="C44" s="18">
        <v>22900</v>
      </c>
      <c r="D44" s="48">
        <v>600</v>
      </c>
      <c r="E44" s="20" t="s">
        <v>92</v>
      </c>
      <c r="F44" s="21">
        <f>D44*G14</f>
        <v>690</v>
      </c>
      <c r="I44" s="59"/>
    </row>
    <row r="45" spans="1:9" ht="11.1" customHeight="1">
      <c r="A45" s="16" t="s">
        <v>337</v>
      </c>
      <c r="B45" s="17" t="s">
        <v>338</v>
      </c>
      <c r="C45" s="18">
        <v>373784</v>
      </c>
      <c r="D45" s="45">
        <v>383563</v>
      </c>
      <c r="E45" s="20">
        <v>3.0000000000000001E-3</v>
      </c>
      <c r="F45" s="21">
        <f>D45*G14</f>
        <v>441097.44999999995</v>
      </c>
    </row>
    <row r="46" spans="1:9" ht="11.1" customHeight="1">
      <c r="A46" s="16" t="s">
        <v>339</v>
      </c>
      <c r="B46" s="17" t="s">
        <v>340</v>
      </c>
      <c r="C46" s="18">
        <v>134970</v>
      </c>
      <c r="D46" s="45">
        <v>118575</v>
      </c>
      <c r="E46" s="20">
        <v>1E-3</v>
      </c>
      <c r="F46" s="21">
        <f>D46*G14</f>
        <v>136361.25</v>
      </c>
    </row>
    <row r="47" spans="1:9" ht="11.1" customHeight="1">
      <c r="A47" s="16" t="s">
        <v>341</v>
      </c>
      <c r="B47" s="17" t="s">
        <v>342</v>
      </c>
      <c r="C47" s="18">
        <v>20000</v>
      </c>
      <c r="D47" s="45">
        <v>26448</v>
      </c>
      <c r="E47" s="20" t="s">
        <v>92</v>
      </c>
      <c r="F47" s="21">
        <f>D47*G14</f>
        <v>30415.199999999997</v>
      </c>
    </row>
    <row r="48" spans="1:9" ht="11.1" customHeight="1">
      <c r="A48" s="16" t="s">
        <v>343</v>
      </c>
      <c r="B48" s="41" t="s">
        <v>344</v>
      </c>
      <c r="C48" s="42">
        <v>2379314</v>
      </c>
      <c r="D48" s="42">
        <v>2347240</v>
      </c>
      <c r="E48" s="43">
        <v>1.6E-2</v>
      </c>
      <c r="F48" s="44">
        <f t="shared" si="1"/>
        <v>2391837.5599999996</v>
      </c>
      <c r="G48" s="24" t="s">
        <v>345</v>
      </c>
    </row>
    <row r="49" spans="1:9" ht="11.1" customHeight="1">
      <c r="A49" s="16" t="s">
        <v>346</v>
      </c>
      <c r="B49" s="17" t="s">
        <v>347</v>
      </c>
      <c r="C49" s="18">
        <v>2379314</v>
      </c>
      <c r="D49" s="45">
        <v>2347240</v>
      </c>
      <c r="E49" s="20">
        <v>1.6E-2</v>
      </c>
      <c r="F49" s="21">
        <f>D49*G14</f>
        <v>2699326</v>
      </c>
    </row>
    <row r="50" spans="1:9" ht="11.1" customHeight="1">
      <c r="A50" s="16" t="s">
        <v>348</v>
      </c>
      <c r="B50" s="29" t="s">
        <v>349</v>
      </c>
      <c r="C50" s="30">
        <f>C15+C21+C29+C48</f>
        <v>133701026</v>
      </c>
      <c r="D50" s="30">
        <v>132424586</v>
      </c>
      <c r="E50" s="32">
        <v>0.88300000000000001</v>
      </c>
      <c r="F50" s="30" t="e">
        <f>F15+F21+F29+F48</f>
        <v>#REF!</v>
      </c>
      <c r="G50" s="49" t="s">
        <v>350</v>
      </c>
      <c r="I50" s="56"/>
    </row>
    <row r="51" spans="1:9" ht="11.1" customHeight="1">
      <c r="A51" s="16" t="s">
        <v>351</v>
      </c>
      <c r="B51" s="26" t="s">
        <v>352</v>
      </c>
      <c r="C51" s="18">
        <v>10047350</v>
      </c>
      <c r="D51" s="19">
        <f>D13-D50</f>
        <v>17492722</v>
      </c>
      <c r="E51" s="50">
        <v>0.11700000000000001</v>
      </c>
      <c r="F51" s="51" t="e">
        <f>F13-F50</f>
        <v>#REF!</v>
      </c>
      <c r="G51" s="24" t="s">
        <v>353</v>
      </c>
      <c r="I51" s="56"/>
    </row>
    <row r="52" spans="1:9" ht="11.1" customHeight="1">
      <c r="B52" s="52" t="s">
        <v>354</v>
      </c>
      <c r="C52" s="48"/>
      <c r="D52" s="21">
        <v>15795</v>
      </c>
      <c r="E52" s="48"/>
      <c r="F52" s="48"/>
    </row>
    <row r="53" spans="1:9" ht="11.1" customHeight="1">
      <c r="B53" s="52" t="s">
        <v>355</v>
      </c>
      <c r="C53" s="48"/>
      <c r="D53" s="21">
        <v>15795</v>
      </c>
      <c r="E53" s="48"/>
      <c r="F53" s="48"/>
    </row>
    <row r="54" spans="1:9" ht="11.1" customHeight="1">
      <c r="B54" s="52" t="s">
        <v>89</v>
      </c>
      <c r="C54" s="48"/>
      <c r="D54" s="21">
        <v>339464</v>
      </c>
      <c r="E54" s="48"/>
      <c r="F54" s="48"/>
    </row>
    <row r="55" spans="1:9" ht="11.1" customHeight="1">
      <c r="B55" s="52" t="s">
        <v>91</v>
      </c>
      <c r="C55" s="48"/>
      <c r="D55" s="21">
        <v>339464</v>
      </c>
      <c r="E55" s="48"/>
      <c r="F55" s="48"/>
    </row>
    <row r="56" spans="1:9" ht="11.1" customHeight="1">
      <c r="B56" s="52" t="s">
        <v>356</v>
      </c>
      <c r="C56" s="48"/>
      <c r="D56" s="21">
        <v>-323669</v>
      </c>
      <c r="E56" s="48"/>
      <c r="F56" s="48"/>
    </row>
    <row r="57" spans="1:9" ht="11.1" customHeight="1">
      <c r="B57" s="53" t="s">
        <v>97</v>
      </c>
      <c r="C57" s="54"/>
      <c r="D57" s="55">
        <f>D51-323669</f>
        <v>17169053</v>
      </c>
      <c r="E57" s="54"/>
      <c r="F57" s="54"/>
    </row>
    <row r="58" spans="1:9" ht="11.1" customHeight="1">
      <c r="B58" s="10" t="s">
        <v>357</v>
      </c>
      <c r="F58" s="4"/>
    </row>
    <row r="59" spans="1:9" ht="11.1" customHeight="1">
      <c r="B59" s="49" t="s">
        <v>358</v>
      </c>
      <c r="F59" s="4"/>
    </row>
    <row r="60" spans="1:9" ht="13.35" customHeight="1">
      <c r="F60" s="4"/>
    </row>
    <row r="61" spans="1:9" ht="12.2" customHeight="1">
      <c r="C61" s="56"/>
      <c r="F61" s="4"/>
    </row>
    <row r="62" spans="1:9" ht="13.35" customHeight="1">
      <c r="F62" s="4"/>
    </row>
    <row r="63" spans="1:9" ht="12.75" customHeight="1">
      <c r="F63" s="4"/>
    </row>
    <row r="64" spans="1:9" ht="18.95" customHeight="1">
      <c r="F64" s="4"/>
    </row>
    <row r="65" spans="1:6" ht="17.100000000000001" customHeight="1">
      <c r="F65" s="4"/>
    </row>
    <row r="66" spans="1:6" ht="12.75" customHeight="1">
      <c r="F66" s="4"/>
    </row>
    <row r="67" spans="1:6" ht="10.5" customHeight="1">
      <c r="F67" s="4"/>
    </row>
    <row r="68" spans="1:6" ht="10.5" customHeight="1">
      <c r="F68" s="4"/>
    </row>
    <row r="69" spans="1:6" ht="11.1" customHeight="1">
      <c r="F69" s="4"/>
    </row>
    <row r="70" spans="1:6" ht="11.1" customHeight="1">
      <c r="F70" s="4"/>
    </row>
    <row r="71" spans="1:6" ht="11.1" customHeight="1">
      <c r="A71" s="60"/>
      <c r="B71" s="61"/>
      <c r="C71" s="61"/>
      <c r="D71" s="62"/>
    </row>
    <row r="72" spans="1:6" ht="11.1" customHeight="1">
      <c r="A72" s="60"/>
      <c r="B72" s="61"/>
      <c r="C72" s="61"/>
      <c r="D72" s="62"/>
    </row>
    <row r="73" spans="1:6" ht="11.1" customHeight="1">
      <c r="A73" s="60"/>
      <c r="B73" s="61"/>
      <c r="C73" s="61"/>
      <c r="D73" s="62"/>
    </row>
    <row r="74" spans="1:6" ht="11.1" customHeight="1">
      <c r="A74" s="60"/>
      <c r="B74" s="61"/>
      <c r="C74" s="61"/>
      <c r="D74" s="62"/>
    </row>
    <row r="75" spans="1:6" ht="11.1" customHeight="1">
      <c r="A75" s="60"/>
      <c r="B75" s="61"/>
      <c r="C75" s="61"/>
      <c r="D75" s="62"/>
    </row>
    <row r="76" spans="1:6" ht="11.1" customHeight="1">
      <c r="A76" s="60"/>
      <c r="B76" s="61"/>
      <c r="C76" s="61"/>
      <c r="D76" s="62"/>
    </row>
    <row r="77" spans="1:6" ht="11.1" customHeight="1">
      <c r="A77" s="60"/>
      <c r="B77" s="61"/>
      <c r="C77" s="61"/>
      <c r="D77" s="62"/>
    </row>
    <row r="78" spans="1:6" ht="11.1" customHeight="1">
      <c r="A78" s="60"/>
      <c r="B78" s="61"/>
      <c r="C78" s="61"/>
      <c r="D78" s="62"/>
    </row>
    <row r="79" spans="1:6" ht="11.1" customHeight="1">
      <c r="A79" s="60"/>
      <c r="B79" s="61"/>
      <c r="C79" s="61"/>
      <c r="D79" s="62"/>
    </row>
    <row r="80" spans="1:6" ht="11.1" customHeight="1">
      <c r="A80" s="60"/>
      <c r="B80" s="61"/>
      <c r="C80" s="61"/>
      <c r="D80" s="62"/>
    </row>
    <row r="81" spans="1:4" ht="11.1" customHeight="1">
      <c r="A81" s="60"/>
      <c r="B81" s="61"/>
      <c r="C81" s="61"/>
      <c r="D81" s="62"/>
    </row>
    <row r="82" spans="1:4" ht="11.1" customHeight="1">
      <c r="A82" s="60"/>
      <c r="B82" s="61"/>
      <c r="C82" s="61"/>
      <c r="D82" s="62"/>
    </row>
    <row r="83" spans="1:4" ht="11.85" customHeight="1">
      <c r="A83" s="60"/>
      <c r="B83" s="61"/>
      <c r="C83" s="61"/>
      <c r="D83" s="62"/>
    </row>
    <row r="84" spans="1:4" ht="11.85" customHeight="1">
      <c r="A84" s="60"/>
      <c r="B84" s="61"/>
      <c r="C84" s="61"/>
      <c r="D84" s="62"/>
    </row>
    <row r="85" spans="1:4" ht="11.85" customHeight="1">
      <c r="A85" s="60"/>
      <c r="B85" s="61"/>
      <c r="C85" s="61"/>
      <c r="D85" s="62"/>
    </row>
    <row r="86" spans="1:4" ht="11.85" customHeight="1">
      <c r="A86" s="60"/>
      <c r="B86" s="61"/>
      <c r="C86" s="61"/>
      <c r="D86" s="62"/>
    </row>
    <row r="87" spans="1:4" ht="11.85" customHeight="1">
      <c r="A87" s="60"/>
      <c r="B87" s="61"/>
      <c r="C87" s="61"/>
      <c r="D87" s="62"/>
    </row>
    <row r="88" spans="1:4" ht="11.85" customHeight="1">
      <c r="A88" s="60"/>
      <c r="B88" s="61"/>
      <c r="C88" s="61"/>
      <c r="D88" s="62"/>
    </row>
    <row r="89" spans="1:4" ht="11.85" customHeight="1">
      <c r="A89" s="60"/>
      <c r="B89" s="61"/>
      <c r="C89" s="61"/>
      <c r="D89" s="62"/>
    </row>
    <row r="90" spans="1:4" ht="11.85" customHeight="1">
      <c r="A90" s="60"/>
      <c r="B90" s="61"/>
      <c r="C90" s="61"/>
      <c r="D90" s="62"/>
    </row>
    <row r="91" spans="1:4" ht="11.85" customHeight="1">
      <c r="A91" s="60"/>
      <c r="B91" s="61"/>
      <c r="C91" s="61"/>
      <c r="D91" s="62"/>
    </row>
    <row r="92" spans="1:4" ht="11.85" customHeight="1">
      <c r="A92" s="60"/>
      <c r="B92" s="61"/>
      <c r="C92" s="61"/>
      <c r="D92" s="62"/>
    </row>
    <row r="93" spans="1:4" ht="11.85" customHeight="1">
      <c r="A93" s="60"/>
      <c r="B93" s="61"/>
      <c r="C93" s="61"/>
      <c r="D93" s="62"/>
    </row>
    <row r="94" spans="1:4" ht="11.85" customHeight="1">
      <c r="A94" s="60"/>
      <c r="B94" s="61"/>
      <c r="C94" s="61"/>
      <c r="D94" s="62"/>
    </row>
    <row r="95" spans="1:4" ht="11.85" customHeight="1">
      <c r="A95" s="60"/>
      <c r="B95" s="61"/>
      <c r="C95" s="61"/>
      <c r="D95" s="62"/>
    </row>
    <row r="96" spans="1:4" ht="11.85" customHeight="1">
      <c r="A96" s="60"/>
      <c r="B96" s="61"/>
      <c r="C96" s="61"/>
      <c r="D96" s="62"/>
    </row>
    <row r="97" spans="1:4" ht="11.85" customHeight="1">
      <c r="A97" s="60"/>
      <c r="B97" s="61"/>
      <c r="C97" s="61"/>
      <c r="D97" s="62"/>
    </row>
    <row r="98" spans="1:4" ht="11.85" customHeight="1">
      <c r="A98" s="60"/>
      <c r="B98" s="61"/>
      <c r="C98" s="61"/>
      <c r="D98" s="62"/>
    </row>
    <row r="99" spans="1:4" ht="11.85" customHeight="1">
      <c r="A99" s="60"/>
      <c r="B99" s="61"/>
      <c r="C99" s="61"/>
      <c r="D99" s="62"/>
    </row>
    <row r="100" spans="1:4" ht="11.85" customHeight="1">
      <c r="A100" s="60"/>
      <c r="B100" s="61"/>
      <c r="C100" s="61"/>
      <c r="D100" s="62"/>
    </row>
    <row r="101" spans="1:4" ht="11.85" customHeight="1">
      <c r="A101" s="60"/>
      <c r="B101" s="61"/>
      <c r="C101" s="61"/>
      <c r="D101" s="62"/>
    </row>
    <row r="102" spans="1:4" ht="11.85" customHeight="1">
      <c r="A102" s="60"/>
      <c r="B102" s="61"/>
      <c r="C102" s="61"/>
      <c r="D102" s="62"/>
    </row>
    <row r="103" spans="1:4" ht="11.85" customHeight="1">
      <c r="A103" s="60"/>
      <c r="B103" s="61"/>
      <c r="C103" s="61"/>
      <c r="D103" s="62"/>
    </row>
    <row r="104" spans="1:4" ht="11.85" customHeight="1">
      <c r="A104" s="60"/>
      <c r="B104" s="61"/>
      <c r="C104" s="61"/>
      <c r="D104" s="62"/>
    </row>
    <row r="105" spans="1:4" ht="11.85" customHeight="1">
      <c r="A105" s="60"/>
      <c r="B105" s="61"/>
      <c r="C105" s="61"/>
      <c r="D105" s="62"/>
    </row>
    <row r="106" spans="1:4" ht="11.85" customHeight="1">
      <c r="A106" s="60"/>
      <c r="B106" s="61"/>
      <c r="C106" s="61"/>
      <c r="D106" s="62"/>
    </row>
    <row r="107" spans="1:4" ht="11.85" customHeight="1">
      <c r="A107" s="60"/>
      <c r="B107" s="61"/>
      <c r="C107" s="61"/>
      <c r="D107" s="62"/>
    </row>
    <row r="108" spans="1:4" ht="11.85" customHeight="1">
      <c r="A108" s="60"/>
      <c r="B108" s="61"/>
      <c r="C108" s="61"/>
      <c r="D108" s="62"/>
    </row>
    <row r="109" spans="1:4" ht="11.85" customHeight="1">
      <c r="A109" s="60"/>
      <c r="B109" s="61"/>
      <c r="C109" s="61"/>
      <c r="D109" s="62"/>
    </row>
    <row r="110" spans="1:4" ht="11.85" customHeight="1">
      <c r="A110" s="60"/>
      <c r="B110" s="61"/>
      <c r="C110" s="61"/>
      <c r="D110" s="62"/>
    </row>
    <row r="111" spans="1:4" ht="11.85" customHeight="1">
      <c r="A111" s="60"/>
      <c r="B111" s="61"/>
      <c r="C111" s="61"/>
      <c r="D111" s="62"/>
    </row>
    <row r="112" spans="1:4" ht="11.85" customHeight="1">
      <c r="A112" s="60"/>
      <c r="B112" s="61"/>
      <c r="C112" s="61"/>
      <c r="D112" s="62"/>
    </row>
    <row r="113" spans="1:4" ht="11.85" customHeight="1">
      <c r="A113" s="60"/>
      <c r="B113" s="61"/>
      <c r="C113" s="61"/>
      <c r="D113" s="62"/>
    </row>
    <row r="114" spans="1:4" ht="11.85" customHeight="1">
      <c r="A114" s="60"/>
      <c r="B114" s="61"/>
      <c r="C114" s="61"/>
      <c r="D114" s="62"/>
    </row>
    <row r="115" spans="1:4" ht="11.85" customHeight="1">
      <c r="A115" s="60"/>
      <c r="B115" s="61"/>
      <c r="C115" s="61"/>
      <c r="D115" s="62"/>
    </row>
    <row r="116" spans="1:4" ht="11.85" customHeight="1">
      <c r="A116" s="60"/>
      <c r="B116" s="61"/>
      <c r="C116" s="61"/>
      <c r="D116" s="62"/>
    </row>
    <row r="117" spans="1:4" ht="11.85" customHeight="1">
      <c r="A117" s="60"/>
      <c r="B117" s="61"/>
      <c r="C117" s="61"/>
      <c r="D117" s="62"/>
    </row>
    <row r="118" spans="1:4" ht="11.85" customHeight="1">
      <c r="A118" s="60"/>
      <c r="B118" s="61"/>
      <c r="C118" s="61"/>
      <c r="D118" s="62"/>
    </row>
    <row r="119" spans="1:4" ht="11.85" customHeight="1">
      <c r="A119" s="60"/>
      <c r="B119" s="61"/>
      <c r="C119" s="61"/>
      <c r="D119" s="62"/>
    </row>
    <row r="120" spans="1:4" ht="12.2" customHeight="1"/>
    <row r="121" spans="1:4" ht="13.35" customHeight="1"/>
    <row r="122" spans="1:4" ht="12.75" customHeight="1">
      <c r="A122" s="264"/>
      <c r="B122" s="264"/>
      <c r="C122" s="264"/>
      <c r="D122" s="264"/>
    </row>
    <row r="123" spans="1:4" ht="18.95" customHeight="1"/>
    <row r="124" spans="1:4" ht="13.35" customHeight="1"/>
    <row r="125" spans="1:4" ht="12.75" customHeight="1"/>
    <row r="126" spans="1:4" ht="10.5" customHeight="1">
      <c r="A126" s="260" t="s">
        <v>252</v>
      </c>
      <c r="B126" s="260" t="s">
        <v>9</v>
      </c>
      <c r="C126" s="9"/>
      <c r="D126" s="63" t="s">
        <v>359</v>
      </c>
    </row>
    <row r="127" spans="1:4" ht="10.5" customHeight="1">
      <c r="A127" s="260"/>
      <c r="B127" s="260"/>
      <c r="C127" s="9"/>
      <c r="D127" s="9" t="s">
        <v>360</v>
      </c>
    </row>
    <row r="128" spans="1:4" ht="11.1" customHeight="1">
      <c r="A128" s="64" t="s">
        <v>361</v>
      </c>
      <c r="B128" s="65" t="s">
        <v>2</v>
      </c>
      <c r="C128" s="65"/>
      <c r="D128" s="66">
        <v>110605932</v>
      </c>
    </row>
    <row r="129" spans="1:4" ht="11.1" customHeight="1">
      <c r="A129" s="67" t="s">
        <v>362</v>
      </c>
      <c r="B129" s="65" t="s">
        <v>363</v>
      </c>
      <c r="C129" s="65"/>
      <c r="D129" s="68">
        <v>90489100</v>
      </c>
    </row>
    <row r="130" spans="1:4" ht="11.1" customHeight="1">
      <c r="A130" s="64" t="s">
        <v>364</v>
      </c>
      <c r="B130" s="65" t="s">
        <v>365</v>
      </c>
      <c r="C130" s="65"/>
      <c r="D130" s="69">
        <v>90489100</v>
      </c>
    </row>
    <row r="131" spans="1:4" ht="11.1" customHeight="1">
      <c r="A131" s="67" t="s">
        <v>366</v>
      </c>
      <c r="B131" s="70" t="s">
        <v>367</v>
      </c>
      <c r="C131" s="70"/>
      <c r="D131" s="71">
        <v>1174500</v>
      </c>
    </row>
    <row r="132" spans="1:4" ht="11.1" customHeight="1">
      <c r="A132" s="64" t="s">
        <v>368</v>
      </c>
      <c r="B132" s="72" t="s">
        <v>369</v>
      </c>
      <c r="C132" s="72"/>
      <c r="D132" s="73">
        <v>1174500</v>
      </c>
    </row>
    <row r="133" spans="1:4" ht="11.1" customHeight="1">
      <c r="A133" s="67" t="s">
        <v>370</v>
      </c>
      <c r="B133" s="74" t="s">
        <v>15</v>
      </c>
      <c r="C133" s="74"/>
      <c r="D133" s="68">
        <v>18942332</v>
      </c>
    </row>
    <row r="134" spans="1:4" ht="11.1" customHeight="1">
      <c r="A134" s="64" t="s">
        <v>371</v>
      </c>
      <c r="B134" s="74" t="s">
        <v>17</v>
      </c>
      <c r="C134" s="74"/>
      <c r="D134" s="69">
        <v>18942332</v>
      </c>
    </row>
    <row r="135" spans="1:4" ht="11.1" customHeight="1">
      <c r="A135" s="64" t="s">
        <v>372</v>
      </c>
      <c r="B135" s="70" t="s">
        <v>20</v>
      </c>
      <c r="C135" s="70"/>
      <c r="D135" s="66">
        <v>110605932</v>
      </c>
    </row>
    <row r="136" spans="1:4" ht="11.1" customHeight="1">
      <c r="A136" s="75"/>
      <c r="B136" s="76"/>
      <c r="C136" s="76"/>
      <c r="D136" s="75"/>
    </row>
    <row r="137" spans="1:4" ht="11.1" customHeight="1">
      <c r="A137" s="64" t="s">
        <v>373</v>
      </c>
      <c r="B137" s="65" t="s">
        <v>25</v>
      </c>
      <c r="C137" s="65"/>
      <c r="D137" s="68">
        <v>83463267</v>
      </c>
    </row>
    <row r="138" spans="1:4" ht="11.1" customHeight="1">
      <c r="A138" s="64" t="s">
        <v>374</v>
      </c>
      <c r="B138" s="65" t="s">
        <v>375</v>
      </c>
      <c r="C138" s="65"/>
      <c r="D138" s="73">
        <v>1905000</v>
      </c>
    </row>
    <row r="139" spans="1:4" ht="11.1" customHeight="1">
      <c r="A139" s="64" t="s">
        <v>376</v>
      </c>
      <c r="B139" s="65" t="s">
        <v>27</v>
      </c>
      <c r="C139" s="65"/>
      <c r="D139" s="69">
        <v>64808121</v>
      </c>
    </row>
    <row r="140" spans="1:4" ht="11.1" customHeight="1">
      <c r="A140" s="64" t="s">
        <v>377</v>
      </c>
      <c r="B140" s="65" t="s">
        <v>29</v>
      </c>
      <c r="C140" s="65"/>
      <c r="D140" s="73">
        <v>6574507</v>
      </c>
    </row>
    <row r="141" spans="1:4" ht="11.1" customHeight="1">
      <c r="A141" s="64" t="s">
        <v>378</v>
      </c>
      <c r="B141" s="65" t="s">
        <v>379</v>
      </c>
      <c r="C141" s="65"/>
      <c r="D141" s="73">
        <v>300000</v>
      </c>
    </row>
    <row r="142" spans="1:4" ht="11.1" customHeight="1">
      <c r="A142" s="64" t="s">
        <v>380</v>
      </c>
      <c r="B142" s="65" t="s">
        <v>31</v>
      </c>
      <c r="C142" s="65"/>
      <c r="D142" s="73">
        <v>9875639</v>
      </c>
    </row>
    <row r="143" spans="1:4" ht="11.1" customHeight="1">
      <c r="A143" s="64" t="s">
        <v>381</v>
      </c>
      <c r="B143" s="65" t="s">
        <v>36</v>
      </c>
      <c r="C143" s="65"/>
      <c r="D143" s="71">
        <v>6757744</v>
      </c>
    </row>
    <row r="144" spans="1:4" ht="11.1" customHeight="1">
      <c r="A144" s="64" t="s">
        <v>382</v>
      </c>
      <c r="B144" s="65" t="s">
        <v>38</v>
      </c>
      <c r="C144" s="65"/>
      <c r="D144" s="73">
        <v>2592702</v>
      </c>
    </row>
    <row r="145" spans="1:4" ht="11.1" customHeight="1">
      <c r="A145" s="64" t="s">
        <v>383</v>
      </c>
      <c r="B145" s="65" t="s">
        <v>40</v>
      </c>
      <c r="C145" s="65"/>
      <c r="D145" s="73">
        <v>519712</v>
      </c>
    </row>
    <row r="146" spans="1:4" ht="11.1" customHeight="1">
      <c r="A146" s="64" t="s">
        <v>384</v>
      </c>
      <c r="B146" s="65" t="s">
        <v>42</v>
      </c>
      <c r="C146" s="65"/>
      <c r="D146" s="73">
        <v>418776</v>
      </c>
    </row>
    <row r="147" spans="1:4" ht="11.1" customHeight="1">
      <c r="A147" s="64" t="s">
        <v>385</v>
      </c>
      <c r="B147" s="65" t="s">
        <v>44</v>
      </c>
      <c r="C147" s="65"/>
      <c r="D147" s="73">
        <v>1618795</v>
      </c>
    </row>
    <row r="148" spans="1:4" ht="11.1" customHeight="1">
      <c r="A148" s="64" t="s">
        <v>386</v>
      </c>
      <c r="B148" s="65" t="s">
        <v>46</v>
      </c>
      <c r="C148" s="65"/>
      <c r="D148" s="73">
        <v>910509</v>
      </c>
    </row>
    <row r="149" spans="1:4" ht="11.1" customHeight="1">
      <c r="A149" s="64" t="s">
        <v>387</v>
      </c>
      <c r="B149" s="65" t="s">
        <v>72</v>
      </c>
      <c r="C149" s="65"/>
      <c r="D149" s="73">
        <v>114250</v>
      </c>
    </row>
    <row r="150" spans="1:4" ht="11.1" customHeight="1">
      <c r="A150" s="64" t="s">
        <v>388</v>
      </c>
      <c r="B150" s="65" t="s">
        <v>48</v>
      </c>
      <c r="C150" s="65"/>
      <c r="D150" s="73">
        <v>583000</v>
      </c>
    </row>
    <row r="151" spans="1:4" ht="11.1" customHeight="1">
      <c r="A151" s="64" t="s">
        <v>389</v>
      </c>
      <c r="B151" s="65" t="s">
        <v>54</v>
      </c>
      <c r="C151" s="65"/>
      <c r="D151" s="68">
        <v>16615128</v>
      </c>
    </row>
    <row r="152" spans="1:4" ht="11.1" customHeight="1">
      <c r="A152" s="64" t="s">
        <v>390</v>
      </c>
      <c r="B152" s="65" t="s">
        <v>56</v>
      </c>
      <c r="C152" s="65"/>
      <c r="D152" s="73">
        <v>967002</v>
      </c>
    </row>
    <row r="153" spans="1:4" ht="11.1" customHeight="1">
      <c r="A153" s="64" t="s">
        <v>391</v>
      </c>
      <c r="B153" s="65" t="s">
        <v>59</v>
      </c>
      <c r="C153" s="65"/>
      <c r="D153" s="73">
        <v>13100</v>
      </c>
    </row>
    <row r="154" spans="1:4" ht="11.1" customHeight="1">
      <c r="A154" s="64" t="s">
        <v>392</v>
      </c>
      <c r="B154" s="65" t="s">
        <v>61</v>
      </c>
      <c r="C154" s="65"/>
      <c r="D154" s="73">
        <v>329468</v>
      </c>
    </row>
    <row r="155" spans="1:4" ht="11.1" customHeight="1">
      <c r="A155" s="64" t="s">
        <v>393</v>
      </c>
      <c r="B155" s="65" t="s">
        <v>63</v>
      </c>
      <c r="C155" s="65"/>
      <c r="D155" s="73">
        <v>110119</v>
      </c>
    </row>
    <row r="156" spans="1:4" ht="11.1" customHeight="1">
      <c r="A156" s="64" t="s">
        <v>394</v>
      </c>
      <c r="B156" s="65" t="s">
        <v>395</v>
      </c>
      <c r="C156" s="65"/>
      <c r="D156" s="73">
        <v>4400</v>
      </c>
    </row>
    <row r="157" spans="1:4" ht="11.1" customHeight="1">
      <c r="A157" s="64" t="s">
        <v>396</v>
      </c>
      <c r="B157" s="65" t="s">
        <v>65</v>
      </c>
      <c r="C157" s="65"/>
      <c r="D157" s="73">
        <v>223212</v>
      </c>
    </row>
    <row r="158" spans="1:4" ht="11.1" customHeight="1">
      <c r="A158" s="64" t="s">
        <v>397</v>
      </c>
      <c r="B158" s="65" t="s">
        <v>398</v>
      </c>
      <c r="C158" s="65"/>
      <c r="D158" s="73">
        <v>19527</v>
      </c>
    </row>
    <row r="159" spans="1:4" ht="11.1" customHeight="1">
      <c r="A159" s="64" t="s">
        <v>399</v>
      </c>
      <c r="B159" s="65" t="s">
        <v>66</v>
      </c>
      <c r="C159" s="65"/>
      <c r="D159" s="73">
        <v>286000</v>
      </c>
    </row>
    <row r="160" spans="1:4" ht="11.1" customHeight="1">
      <c r="A160" s="64" t="s">
        <v>400</v>
      </c>
      <c r="B160" s="65" t="s">
        <v>68</v>
      </c>
      <c r="C160" s="65"/>
      <c r="D160" s="73">
        <v>1499074</v>
      </c>
    </row>
    <row r="161" spans="1:4" ht="11.1" customHeight="1">
      <c r="A161" s="64" t="s">
        <v>401</v>
      </c>
      <c r="B161" s="65" t="s">
        <v>70</v>
      </c>
      <c r="C161" s="65"/>
      <c r="D161" s="73">
        <v>178490</v>
      </c>
    </row>
    <row r="162" spans="1:4" ht="11.1" customHeight="1">
      <c r="A162" s="64" t="s">
        <v>402</v>
      </c>
      <c r="B162" s="65" t="s">
        <v>72</v>
      </c>
      <c r="C162" s="65"/>
      <c r="D162" s="73">
        <v>19650</v>
      </c>
    </row>
    <row r="163" spans="1:4" ht="11.1" customHeight="1">
      <c r="A163" s="64" t="s">
        <v>403</v>
      </c>
      <c r="B163" s="65" t="s">
        <v>48</v>
      </c>
      <c r="C163" s="65"/>
      <c r="D163" s="73">
        <v>110000</v>
      </c>
    </row>
    <row r="164" spans="1:4" ht="11.1" customHeight="1">
      <c r="A164" s="64" t="s">
        <v>404</v>
      </c>
      <c r="B164" s="65" t="s">
        <v>76</v>
      </c>
      <c r="C164" s="65"/>
      <c r="D164" s="69">
        <v>12413150</v>
      </c>
    </row>
    <row r="165" spans="1:4" ht="11.1" customHeight="1">
      <c r="A165" s="64" t="s">
        <v>405</v>
      </c>
      <c r="B165" s="65" t="s">
        <v>78</v>
      </c>
      <c r="C165" s="65"/>
      <c r="D165" s="73">
        <v>600</v>
      </c>
    </row>
    <row r="166" spans="1:4" ht="11.1" customHeight="1">
      <c r="A166" s="64" t="s">
        <v>406</v>
      </c>
      <c r="B166" s="65" t="s">
        <v>80</v>
      </c>
      <c r="C166" s="65"/>
      <c r="D166" s="73">
        <v>301313</v>
      </c>
    </row>
    <row r="167" spans="1:4" ht="11.1" customHeight="1">
      <c r="A167" s="64" t="s">
        <v>407</v>
      </c>
      <c r="B167" s="65" t="s">
        <v>73</v>
      </c>
      <c r="C167" s="65"/>
      <c r="D167" s="73">
        <v>113575</v>
      </c>
    </row>
    <row r="168" spans="1:4" ht="11.1" customHeight="1">
      <c r="A168" s="64" t="s">
        <v>408</v>
      </c>
      <c r="B168" s="65" t="s">
        <v>50</v>
      </c>
      <c r="C168" s="65"/>
      <c r="D168" s="73">
        <v>26448</v>
      </c>
    </row>
    <row r="169" spans="1:4" ht="11.1" customHeight="1">
      <c r="A169" s="64" t="s">
        <v>409</v>
      </c>
      <c r="B169" s="65" t="s">
        <v>344</v>
      </c>
      <c r="C169" s="65"/>
      <c r="D169" s="71">
        <v>1972538</v>
      </c>
    </row>
    <row r="170" spans="1:4" ht="11.1" customHeight="1">
      <c r="A170" s="64" t="s">
        <v>410</v>
      </c>
      <c r="B170" s="65" t="s">
        <v>347</v>
      </c>
      <c r="C170" s="65"/>
      <c r="D170" s="73">
        <v>1972538</v>
      </c>
    </row>
    <row r="171" spans="1:4" ht="11.1" customHeight="1">
      <c r="A171" s="64" t="s">
        <v>411</v>
      </c>
      <c r="B171" s="70" t="s">
        <v>84</v>
      </c>
      <c r="C171" s="70"/>
      <c r="D171" s="66">
        <v>108808677</v>
      </c>
    </row>
    <row r="172" spans="1:4" ht="11.1" customHeight="1">
      <c r="A172" s="64" t="s">
        <v>412</v>
      </c>
      <c r="B172" s="72" t="s">
        <v>85</v>
      </c>
      <c r="C172" s="72"/>
      <c r="D172" s="71">
        <v>1797255</v>
      </c>
    </row>
    <row r="173" spans="1:4" ht="11.1" customHeight="1">
      <c r="A173" s="75"/>
      <c r="B173" s="76"/>
      <c r="C173" s="76"/>
      <c r="D173" s="75"/>
    </row>
    <row r="174" spans="1:4" ht="11.1" customHeight="1">
      <c r="A174" s="64" t="s">
        <v>413</v>
      </c>
      <c r="B174" s="70" t="s">
        <v>354</v>
      </c>
      <c r="C174" s="70"/>
      <c r="D174" s="71">
        <v>2564</v>
      </c>
    </row>
    <row r="175" spans="1:4" ht="11.1" customHeight="1">
      <c r="A175" s="64" t="s">
        <v>414</v>
      </c>
      <c r="B175" s="65" t="s">
        <v>355</v>
      </c>
      <c r="C175" s="65"/>
      <c r="D175" s="73">
        <v>2564</v>
      </c>
    </row>
    <row r="176" spans="1:4" ht="11.1" customHeight="1">
      <c r="A176" s="64" t="s">
        <v>415</v>
      </c>
      <c r="B176" s="72" t="s">
        <v>86</v>
      </c>
      <c r="C176" s="72"/>
      <c r="D176" s="71">
        <v>2564</v>
      </c>
    </row>
    <row r="177" spans="1:4" ht="11.1" customHeight="1">
      <c r="A177" s="75"/>
      <c r="B177" s="76"/>
      <c r="C177" s="76"/>
      <c r="D177" s="75"/>
    </row>
    <row r="178" spans="1:4" ht="11.1" customHeight="1">
      <c r="A178" s="64" t="s">
        <v>416</v>
      </c>
      <c r="B178" s="65" t="s">
        <v>89</v>
      </c>
      <c r="C178" s="65"/>
      <c r="D178" s="71">
        <v>286711</v>
      </c>
    </row>
    <row r="179" spans="1:4" ht="12.2" customHeight="1"/>
    <row r="180" spans="1:4" ht="13.35" customHeight="1"/>
    <row r="181" spans="1:4" ht="12.75" customHeight="1">
      <c r="A181" s="264"/>
      <c r="B181" s="264"/>
      <c r="C181" s="264"/>
      <c r="D181" s="264"/>
    </row>
    <row r="182" spans="1:4" ht="18.95" customHeight="1"/>
    <row r="183" spans="1:4" ht="13.35" customHeight="1"/>
    <row r="184" spans="1:4" ht="12.75" customHeight="1"/>
    <row r="185" spans="1:4" ht="10.5" customHeight="1">
      <c r="A185" s="260" t="s">
        <v>252</v>
      </c>
      <c r="B185" s="260" t="s">
        <v>9</v>
      </c>
      <c r="C185" s="9"/>
      <c r="D185" s="63" t="s">
        <v>359</v>
      </c>
    </row>
    <row r="186" spans="1:4" ht="10.5" customHeight="1">
      <c r="A186" s="260"/>
      <c r="B186" s="260"/>
      <c r="C186" s="9"/>
      <c r="D186" s="9" t="s">
        <v>360</v>
      </c>
    </row>
    <row r="187" spans="1:4" ht="11.1" customHeight="1">
      <c r="A187" s="64" t="s">
        <v>417</v>
      </c>
      <c r="B187" s="65" t="s">
        <v>91</v>
      </c>
      <c r="C187" s="65"/>
      <c r="D187" s="73">
        <v>286711</v>
      </c>
    </row>
    <row r="188" spans="1:4" ht="11.1" customHeight="1">
      <c r="A188" s="64" t="s">
        <v>418</v>
      </c>
      <c r="B188" s="72" t="s">
        <v>93</v>
      </c>
      <c r="C188" s="72"/>
      <c r="D188" s="71">
        <v>286711</v>
      </c>
    </row>
    <row r="189" spans="1:4" ht="11.1" customHeight="1">
      <c r="A189" s="64" t="s">
        <v>419</v>
      </c>
      <c r="B189" s="77" t="s">
        <v>96</v>
      </c>
      <c r="C189" s="77"/>
      <c r="D189" s="78">
        <v>-284147</v>
      </c>
    </row>
    <row r="190" spans="1:4" ht="11.1" customHeight="1">
      <c r="A190" s="64" t="s">
        <v>420</v>
      </c>
      <c r="B190" s="65" t="s">
        <v>97</v>
      </c>
      <c r="C190" s="65"/>
      <c r="D190" s="71">
        <v>1513108</v>
      </c>
    </row>
    <row r="191" spans="1:4" ht="11.1" customHeight="1">
      <c r="A191" s="75"/>
      <c r="B191" s="76"/>
      <c r="C191" s="76"/>
      <c r="D191" s="75"/>
    </row>
    <row r="192" spans="1:4" ht="11.1" customHeight="1">
      <c r="A192" s="64" t="s">
        <v>421</v>
      </c>
      <c r="B192" s="72" t="s">
        <v>422</v>
      </c>
      <c r="C192" s="72"/>
      <c r="D192" s="71">
        <v>1905000</v>
      </c>
    </row>
    <row r="193" spans="1:4" ht="11.1" customHeight="1">
      <c r="A193" s="64" t="s">
        <v>423</v>
      </c>
      <c r="B193" s="74" t="s">
        <v>424</v>
      </c>
      <c r="C193" s="74"/>
      <c r="D193" s="73">
        <v>1905000</v>
      </c>
    </row>
    <row r="194" spans="1:4" ht="11.1" customHeight="1">
      <c r="A194" s="64" t="s">
        <v>425</v>
      </c>
      <c r="B194" s="65" t="s">
        <v>426</v>
      </c>
      <c r="C194" s="65"/>
      <c r="D194" s="71">
        <v>1905000</v>
      </c>
    </row>
    <row r="195" spans="1:4" ht="11.1" customHeight="1">
      <c r="A195" s="75"/>
      <c r="B195" s="76"/>
      <c r="C195" s="76"/>
      <c r="D195" s="75"/>
    </row>
    <row r="196" spans="1:4" ht="11.1" customHeight="1">
      <c r="A196" s="64" t="s">
        <v>427</v>
      </c>
      <c r="B196" s="72" t="s">
        <v>428</v>
      </c>
      <c r="C196" s="72"/>
      <c r="D196" s="71">
        <v>1905000</v>
      </c>
    </row>
    <row r="197" spans="1:4" ht="11.1" customHeight="1">
      <c r="A197" s="64" t="s">
        <v>429</v>
      </c>
      <c r="B197" s="74" t="s">
        <v>430</v>
      </c>
      <c r="C197" s="74"/>
      <c r="D197" s="73">
        <v>1905000</v>
      </c>
    </row>
    <row r="198" spans="1:4" ht="11.1" customHeight="1">
      <c r="A198" s="64" t="s">
        <v>431</v>
      </c>
      <c r="B198" s="65" t="s">
        <v>432</v>
      </c>
      <c r="C198" s="65"/>
      <c r="D198" s="71">
        <v>1905000</v>
      </c>
    </row>
    <row r="199" spans="1:4" ht="11.1" customHeight="1">
      <c r="A199" s="64" t="s">
        <v>433</v>
      </c>
      <c r="B199" s="65" t="s">
        <v>434</v>
      </c>
      <c r="C199" s="65"/>
      <c r="D199" s="79"/>
    </row>
    <row r="200" spans="1:4" ht="11.1" customHeight="1">
      <c r="A200" s="64" t="s">
        <v>435</v>
      </c>
      <c r="B200" s="77" t="s">
        <v>98</v>
      </c>
      <c r="C200" s="77"/>
      <c r="D200" s="80">
        <v>1513108</v>
      </c>
    </row>
    <row r="201" spans="1:4" ht="11.1" customHeight="1">
      <c r="A201" s="64" t="s">
        <v>436</v>
      </c>
      <c r="B201" s="74" t="s">
        <v>99</v>
      </c>
      <c r="C201" s="74"/>
      <c r="D201" s="80">
        <v>1513108</v>
      </c>
    </row>
    <row r="202" spans="1:4" ht="11.1" customHeight="1">
      <c r="A202" s="64" t="s">
        <v>437</v>
      </c>
      <c r="B202" s="74" t="s">
        <v>100</v>
      </c>
      <c r="C202" s="74"/>
      <c r="D202" s="69">
        <v>30934441</v>
      </c>
    </row>
    <row r="203" spans="1:4" ht="11.1" customHeight="1">
      <c r="A203" s="64" t="s">
        <v>438</v>
      </c>
      <c r="B203" s="77" t="s">
        <v>101</v>
      </c>
      <c r="C203" s="77"/>
      <c r="D203" s="81">
        <v>32447549</v>
      </c>
    </row>
    <row r="204" spans="1:4" ht="11.1" customHeight="1">
      <c r="A204" s="64" t="s">
        <v>439</v>
      </c>
      <c r="B204" s="72" t="s">
        <v>102</v>
      </c>
      <c r="C204" s="72"/>
      <c r="D204" s="81">
        <v>32447549</v>
      </c>
    </row>
    <row r="205" spans="1:4" ht="11.85" customHeight="1">
      <c r="A205" s="60"/>
      <c r="B205" s="61"/>
      <c r="C205" s="61"/>
      <c r="D205" s="82"/>
    </row>
    <row r="206" spans="1:4" ht="11.85" customHeight="1">
      <c r="A206" s="60"/>
      <c r="B206" s="61"/>
      <c r="C206" s="61"/>
      <c r="D206" s="82"/>
    </row>
    <row r="207" spans="1:4" ht="11.85" customHeight="1">
      <c r="A207" s="60"/>
      <c r="B207" s="61"/>
      <c r="C207" s="61"/>
      <c r="D207" s="82"/>
    </row>
    <row r="208" spans="1:4" ht="11.85" customHeight="1">
      <c r="A208" s="60"/>
      <c r="B208" s="61"/>
      <c r="C208" s="61"/>
      <c r="D208" s="82"/>
    </row>
    <row r="209" spans="1:4" ht="11.85" customHeight="1">
      <c r="A209" s="60"/>
      <c r="B209" s="61"/>
      <c r="C209" s="61"/>
      <c r="D209" s="82"/>
    </row>
    <row r="210" spans="1:4" ht="11.85" customHeight="1">
      <c r="A210" s="60"/>
      <c r="B210" s="61"/>
      <c r="C210" s="61"/>
      <c r="D210" s="82"/>
    </row>
    <row r="211" spans="1:4" ht="11.85" customHeight="1">
      <c r="A211" s="60"/>
      <c r="B211" s="61"/>
      <c r="C211" s="61"/>
      <c r="D211" s="82"/>
    </row>
    <row r="212" spans="1:4" ht="11.85" customHeight="1">
      <c r="A212" s="60"/>
      <c r="B212" s="61"/>
      <c r="C212" s="61"/>
      <c r="D212" s="82"/>
    </row>
    <row r="213" spans="1:4" ht="11.85" customHeight="1">
      <c r="A213" s="60"/>
      <c r="B213" s="61"/>
      <c r="C213" s="61"/>
      <c r="D213" s="82"/>
    </row>
    <row r="214" spans="1:4" ht="11.85" customHeight="1">
      <c r="A214" s="60"/>
      <c r="B214" s="61"/>
      <c r="C214" s="61"/>
      <c r="D214" s="82"/>
    </row>
    <row r="215" spans="1:4" ht="11.85" customHeight="1">
      <c r="A215" s="60"/>
      <c r="B215" s="61"/>
      <c r="C215" s="61"/>
      <c r="D215" s="82"/>
    </row>
    <row r="216" spans="1:4" ht="11.85" customHeight="1">
      <c r="A216" s="60"/>
      <c r="B216" s="61"/>
      <c r="C216" s="61"/>
      <c r="D216" s="82"/>
    </row>
    <row r="217" spans="1:4" ht="11.85" customHeight="1">
      <c r="A217" s="60"/>
      <c r="B217" s="61"/>
      <c r="C217" s="61"/>
      <c r="D217" s="82"/>
    </row>
    <row r="218" spans="1:4" ht="11.85" customHeight="1">
      <c r="A218" s="60"/>
      <c r="B218" s="61"/>
      <c r="C218" s="61"/>
      <c r="D218" s="82"/>
    </row>
    <row r="219" spans="1:4" ht="11.85" customHeight="1">
      <c r="A219" s="60"/>
      <c r="B219" s="61"/>
      <c r="C219" s="61"/>
      <c r="D219" s="82"/>
    </row>
    <row r="220" spans="1:4" ht="11.85" customHeight="1">
      <c r="A220" s="60"/>
      <c r="B220" s="61"/>
      <c r="C220" s="61"/>
      <c r="D220" s="82"/>
    </row>
    <row r="221" spans="1:4" ht="11.85" customHeight="1">
      <c r="A221" s="60"/>
      <c r="B221" s="61"/>
      <c r="C221" s="61"/>
      <c r="D221" s="82"/>
    </row>
    <row r="222" spans="1:4" ht="11.85" customHeight="1">
      <c r="A222" s="60"/>
      <c r="B222" s="61"/>
      <c r="C222" s="61"/>
      <c r="D222" s="82"/>
    </row>
    <row r="223" spans="1:4" ht="11.85" customHeight="1">
      <c r="A223" s="60"/>
      <c r="B223" s="61"/>
      <c r="C223" s="61"/>
      <c r="D223" s="82"/>
    </row>
    <row r="224" spans="1:4" ht="11.85" customHeight="1">
      <c r="A224" s="60"/>
      <c r="B224" s="61"/>
      <c r="C224" s="61"/>
      <c r="D224" s="82"/>
    </row>
    <row r="225" spans="1:4" ht="11.85" customHeight="1">
      <c r="A225" s="60"/>
      <c r="B225" s="61"/>
      <c r="C225" s="61"/>
      <c r="D225" s="82"/>
    </row>
    <row r="226" spans="1:4" ht="11.85" customHeight="1">
      <c r="A226" s="60"/>
      <c r="B226" s="61"/>
      <c r="C226" s="61"/>
      <c r="D226" s="82"/>
    </row>
    <row r="227" spans="1:4" ht="11.85" customHeight="1">
      <c r="A227" s="60"/>
      <c r="B227" s="61"/>
      <c r="C227" s="61"/>
      <c r="D227" s="82"/>
    </row>
    <row r="228" spans="1:4" ht="11.85" customHeight="1">
      <c r="A228" s="60"/>
      <c r="B228" s="61"/>
      <c r="C228" s="61"/>
      <c r="D228" s="82"/>
    </row>
    <row r="229" spans="1:4" ht="11.85" customHeight="1">
      <c r="A229" s="60"/>
      <c r="B229" s="61"/>
      <c r="C229" s="61"/>
      <c r="D229" s="82"/>
    </row>
    <row r="230" spans="1:4" ht="11.85" customHeight="1">
      <c r="A230" s="60"/>
      <c r="B230" s="61"/>
      <c r="C230" s="61"/>
      <c r="D230" s="82"/>
    </row>
    <row r="231" spans="1:4" ht="11.85" customHeight="1">
      <c r="A231" s="60"/>
      <c r="B231" s="61"/>
      <c r="C231" s="61"/>
      <c r="D231" s="82"/>
    </row>
    <row r="232" spans="1:4" ht="11.85" customHeight="1">
      <c r="A232" s="60"/>
      <c r="B232" s="61"/>
      <c r="C232" s="61"/>
      <c r="D232" s="82"/>
    </row>
    <row r="233" spans="1:4" ht="11.85" customHeight="1">
      <c r="A233" s="60"/>
      <c r="B233" s="61"/>
      <c r="C233" s="61"/>
      <c r="D233" s="82"/>
    </row>
    <row r="234" spans="1:4" ht="11.85" customHeight="1">
      <c r="A234" s="60"/>
      <c r="B234" s="61"/>
      <c r="C234" s="61"/>
      <c r="D234" s="82"/>
    </row>
    <row r="235" spans="1:4" ht="11.85" customHeight="1">
      <c r="A235" s="60"/>
      <c r="B235" s="61"/>
      <c r="C235" s="61"/>
      <c r="D235" s="82"/>
    </row>
    <row r="236" spans="1:4" ht="11.85" customHeight="1">
      <c r="A236" s="60"/>
      <c r="B236" s="61"/>
      <c r="C236" s="61"/>
      <c r="D236" s="82"/>
    </row>
    <row r="237" spans="1:4" ht="11.85" customHeight="1">
      <c r="A237" s="60"/>
      <c r="B237" s="61"/>
      <c r="C237" s="61"/>
      <c r="D237" s="82"/>
    </row>
    <row r="238" spans="1:4" ht="12.2" customHeight="1"/>
    <row r="239" spans="1:4" ht="13.35" customHeight="1"/>
  </sheetData>
  <mergeCells count="9">
    <mergeCell ref="A185:A186"/>
    <mergeCell ref="B4:B5"/>
    <mergeCell ref="B126:B127"/>
    <mergeCell ref="B185:B186"/>
    <mergeCell ref="A1:G2"/>
    <mergeCell ref="A122:D122"/>
    <mergeCell ref="A181:D181"/>
    <mergeCell ref="A4:A5"/>
    <mergeCell ref="A126:A127"/>
  </mergeCells>
  <phoneticPr fontId="34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1:M51"/>
  <sheetViews>
    <sheetView tabSelected="1" topLeftCell="A29" zoomScale="130" zoomScaleNormal="130" workbookViewId="0">
      <selection activeCell="D34" sqref="D34"/>
    </sheetView>
  </sheetViews>
  <sheetFormatPr defaultColWidth="9" defaultRowHeight="13.5"/>
  <cols>
    <col min="1" max="3" width="1.625" customWidth="1"/>
    <col min="4" max="4" width="18.125" style="226" customWidth="1"/>
    <col min="5" max="5" width="15.75" style="226" customWidth="1"/>
    <col min="6" max="6" width="13.875" style="226" hidden="1" customWidth="1"/>
    <col min="7" max="7" width="13" style="226" hidden="1" customWidth="1"/>
    <col min="8" max="8" width="13" style="227" hidden="1" customWidth="1"/>
    <col min="9" max="9" width="17.875" style="226" customWidth="1"/>
    <col min="10" max="10" width="15.125" style="219" hidden="1" customWidth="1"/>
    <col min="11" max="11" width="12.5" style="219" hidden="1" customWidth="1"/>
    <col min="12" max="12" width="12.875" hidden="1" customWidth="1"/>
  </cols>
  <sheetData>
    <row r="1" spans="4:13" ht="14.25">
      <c r="D1" s="253" t="s">
        <v>456</v>
      </c>
      <c r="H1" s="226"/>
    </row>
    <row r="2" spans="4:13">
      <c r="E2" s="226" t="s">
        <v>457</v>
      </c>
      <c r="I2" s="252">
        <v>46089</v>
      </c>
    </row>
    <row r="3" spans="4:13">
      <c r="E3" s="226" t="s">
        <v>458</v>
      </c>
      <c r="I3" s="252">
        <v>46198</v>
      </c>
    </row>
    <row r="4" spans="4:13">
      <c r="D4" s="228"/>
      <c r="E4" s="228" t="s">
        <v>440</v>
      </c>
      <c r="F4" s="229" t="s">
        <v>441</v>
      </c>
      <c r="G4" s="230" t="s">
        <v>442</v>
      </c>
      <c r="H4" s="231" t="s">
        <v>447</v>
      </c>
      <c r="I4" s="230" t="s">
        <v>448</v>
      </c>
      <c r="J4" s="212"/>
      <c r="K4" s="213" t="s">
        <v>443</v>
      </c>
      <c r="L4" s="1" t="s">
        <v>444</v>
      </c>
    </row>
    <row r="5" spans="4:13">
      <c r="D5" s="232" t="s">
        <v>259</v>
      </c>
      <c r="E5" s="233">
        <v>152765737</v>
      </c>
      <c r="F5" s="234">
        <v>110605932</v>
      </c>
      <c r="G5" s="235">
        <v>118390902</v>
      </c>
      <c r="H5" s="236">
        <f>E5</f>
        <v>152765737</v>
      </c>
      <c r="I5" s="237">
        <f>+L5</f>
        <v>163518114.00246394</v>
      </c>
      <c r="J5" s="214"/>
      <c r="K5" s="213">
        <f>E5/F5</f>
        <v>1.3811712829290206</v>
      </c>
      <c r="L5" s="2">
        <f>G5*K5</f>
        <v>163518114.00246394</v>
      </c>
    </row>
    <row r="6" spans="4:13">
      <c r="D6" s="232" t="s">
        <v>261</v>
      </c>
      <c r="E6" s="233">
        <v>109271680</v>
      </c>
      <c r="F6" s="234">
        <v>90489100</v>
      </c>
      <c r="G6" s="235">
        <v>95956670</v>
      </c>
      <c r="H6" s="236">
        <v>109271680</v>
      </c>
      <c r="I6" s="237">
        <f t="shared" ref="I6:I10" si="0">+L6</f>
        <v>115874138.85324973</v>
      </c>
      <c r="J6" s="214"/>
      <c r="K6" s="213">
        <f>E6/F6</f>
        <v>1.2075673202628825</v>
      </c>
      <c r="L6" s="2">
        <f>G6*K6</f>
        <v>115874138.85324973</v>
      </c>
    </row>
    <row r="7" spans="4:13">
      <c r="D7" s="232" t="s">
        <v>263</v>
      </c>
      <c r="E7" s="233">
        <v>109271680</v>
      </c>
      <c r="F7" s="234">
        <v>90489100</v>
      </c>
      <c r="G7" s="235">
        <v>95956670</v>
      </c>
      <c r="H7" s="236">
        <v>109271680</v>
      </c>
      <c r="I7" s="237">
        <f>+I6</f>
        <v>115874138.85324973</v>
      </c>
      <c r="J7" s="215"/>
      <c r="K7" s="213"/>
      <c r="L7" s="1"/>
    </row>
    <row r="8" spans="4:13" ht="21" customHeight="1">
      <c r="D8" s="232" t="s">
        <v>266</v>
      </c>
      <c r="E8" s="233">
        <v>1407749</v>
      </c>
      <c r="F8" s="234">
        <v>1174500</v>
      </c>
      <c r="G8" s="235">
        <v>1197000</v>
      </c>
      <c r="H8" s="236">
        <v>1407749</v>
      </c>
      <c r="I8" s="237">
        <f t="shared" si="0"/>
        <v>1434717.3716475095</v>
      </c>
      <c r="J8" s="214"/>
      <c r="K8" s="213">
        <f>E8/F8</f>
        <v>1.1985942954448701</v>
      </c>
      <c r="L8" s="2">
        <f>G8*K8</f>
        <v>1434717.3716475095</v>
      </c>
    </row>
    <row r="9" spans="4:13" ht="25.5">
      <c r="D9" s="232" t="s">
        <v>268</v>
      </c>
      <c r="E9" s="233">
        <v>1407749</v>
      </c>
      <c r="F9" s="234">
        <v>1174500</v>
      </c>
      <c r="G9" s="235">
        <v>1197000</v>
      </c>
      <c r="H9" s="236">
        <v>1407749</v>
      </c>
      <c r="I9" s="237">
        <f>+I8</f>
        <v>1434717.3716475095</v>
      </c>
      <c r="J9" s="215"/>
      <c r="K9" s="213"/>
      <c r="L9" s="1"/>
    </row>
    <row r="10" spans="4:13" ht="24" customHeight="1">
      <c r="D10" s="232" t="s">
        <v>271</v>
      </c>
      <c r="E10" s="233">
        <v>42086308</v>
      </c>
      <c r="F10" s="234">
        <v>18942332</v>
      </c>
      <c r="G10" s="235">
        <v>21237232</v>
      </c>
      <c r="H10" s="236">
        <v>42086308</v>
      </c>
      <c r="I10" s="237">
        <f t="shared" si="0"/>
        <v>47185145.261916846</v>
      </c>
      <c r="J10" s="214"/>
      <c r="K10" s="213">
        <f>E10/F10</f>
        <v>2.2218123935321161</v>
      </c>
      <c r="L10" s="2">
        <f>G10*K10</f>
        <v>47185145.261916846</v>
      </c>
    </row>
    <row r="11" spans="4:13" ht="24" customHeight="1">
      <c r="D11" s="232" t="s">
        <v>273</v>
      </c>
      <c r="E11" s="233">
        <v>42086308</v>
      </c>
      <c r="F11" s="234">
        <v>18942332</v>
      </c>
      <c r="G11" s="235">
        <v>21237232</v>
      </c>
      <c r="H11" s="236">
        <v>42086308</v>
      </c>
      <c r="I11" s="237">
        <f>+I10</f>
        <v>47185145.261916846</v>
      </c>
      <c r="J11" s="215"/>
      <c r="K11" s="213"/>
      <c r="L11" s="1"/>
    </row>
    <row r="12" spans="4:13" ht="24" customHeight="1">
      <c r="D12" s="238" t="s">
        <v>445</v>
      </c>
      <c r="E12" s="238"/>
      <c r="G12" s="239">
        <v>0</v>
      </c>
      <c r="H12" s="227">
        <v>0</v>
      </c>
      <c r="I12" s="238"/>
      <c r="J12" s="216"/>
      <c r="K12" s="213"/>
      <c r="L12" s="3"/>
    </row>
    <row r="13" spans="4:13">
      <c r="D13" s="232" t="s">
        <v>276</v>
      </c>
      <c r="E13" s="233">
        <v>152765737</v>
      </c>
      <c r="F13" s="234">
        <v>110605932</v>
      </c>
      <c r="G13" s="235">
        <f>G11+G9+G7</f>
        <v>118390902</v>
      </c>
      <c r="H13" s="240">
        <f>H11+H9+H7</f>
        <v>152765737</v>
      </c>
      <c r="I13" s="240">
        <f>I11+I9+I7</f>
        <v>164494001.48681408</v>
      </c>
      <c r="J13" s="217"/>
      <c r="K13" s="213"/>
      <c r="L13" s="3">
        <f>L10+L8+L6</f>
        <v>164494001.48681408</v>
      </c>
    </row>
    <row r="14" spans="4:13">
      <c r="D14" s="238"/>
      <c r="E14" s="233"/>
      <c r="G14" s="241"/>
      <c r="H14" s="236"/>
      <c r="I14" s="241"/>
      <c r="J14" s="218"/>
    </row>
    <row r="15" spans="4:13">
      <c r="D15" s="232" t="s">
        <v>280</v>
      </c>
      <c r="E15" s="233">
        <v>108797950</v>
      </c>
      <c r="F15" s="234">
        <v>83163267</v>
      </c>
      <c r="G15" s="242">
        <f>G16+G17+G18+G20</f>
        <v>100259819</v>
      </c>
      <c r="H15" s="243">
        <f>SUM(H16:H20)</f>
        <v>124898170.8</v>
      </c>
      <c r="I15" s="243">
        <f>SUM(I16:I20)</f>
        <v>119503392.96000001</v>
      </c>
      <c r="J15" s="214"/>
      <c r="K15" s="213"/>
    </row>
    <row r="16" spans="4:13">
      <c r="D16" s="232" t="s">
        <v>283</v>
      </c>
      <c r="E16" s="233">
        <v>2286000</v>
      </c>
      <c r="F16" s="234">
        <v>1905000</v>
      </c>
      <c r="G16" s="235">
        <v>1890000</v>
      </c>
      <c r="H16" s="236">
        <f>G16/10*12</f>
        <v>2268000</v>
      </c>
      <c r="I16" s="235">
        <v>4860000</v>
      </c>
      <c r="J16" s="220"/>
      <c r="K16" s="213"/>
      <c r="M16" s="225"/>
    </row>
    <row r="17" spans="4:13">
      <c r="D17" s="232" t="s">
        <v>285</v>
      </c>
      <c r="E17" s="233">
        <v>79666710</v>
      </c>
      <c r="F17" s="234">
        <v>64808121</v>
      </c>
      <c r="G17" s="235">
        <v>76266625</v>
      </c>
      <c r="H17" s="236">
        <f t="shared" ref="H17:H49" si="1">G17/10*12</f>
        <v>91519950</v>
      </c>
      <c r="I17" s="235">
        <v>81550800</v>
      </c>
      <c r="J17" s="220"/>
      <c r="K17" s="213"/>
    </row>
    <row r="18" spans="4:13">
      <c r="D18" s="232" t="s">
        <v>287</v>
      </c>
      <c r="E18" s="233">
        <v>9801761</v>
      </c>
      <c r="F18" s="234">
        <v>6574507</v>
      </c>
      <c r="G18" s="244">
        <v>12068060</v>
      </c>
      <c r="H18" s="236">
        <f>+G18</f>
        <v>12068060</v>
      </c>
      <c r="I18" s="233">
        <v>11642000</v>
      </c>
      <c r="J18" s="216" t="s">
        <v>449</v>
      </c>
      <c r="K18" s="213"/>
      <c r="M18" s="225"/>
    </row>
    <row r="19" spans="4:13">
      <c r="D19" s="232" t="s">
        <v>288</v>
      </c>
      <c r="E19" s="233">
        <v>4018069</v>
      </c>
      <c r="G19" s="238"/>
      <c r="H19" s="243">
        <v>7000000</v>
      </c>
      <c r="I19" s="243">
        <v>7000000</v>
      </c>
      <c r="J19" s="216" t="s">
        <v>454</v>
      </c>
      <c r="K19" s="213"/>
    </row>
    <row r="20" spans="4:13">
      <c r="D20" s="232" t="s">
        <v>290</v>
      </c>
      <c r="E20" s="233">
        <v>13025410</v>
      </c>
      <c r="F20" s="234">
        <v>9875639</v>
      </c>
      <c r="G20" s="235">
        <v>10035134</v>
      </c>
      <c r="H20" s="236">
        <f t="shared" si="1"/>
        <v>12042160.800000001</v>
      </c>
      <c r="I20" s="235">
        <f>H20*1.2</f>
        <v>14450592.960000001</v>
      </c>
      <c r="J20" s="220"/>
      <c r="K20" s="213"/>
    </row>
    <row r="21" spans="4:13">
      <c r="D21" s="238" t="s">
        <v>292</v>
      </c>
      <c r="E21" s="233">
        <v>9618690</v>
      </c>
      <c r="F21" s="234">
        <v>6757744</v>
      </c>
      <c r="G21" s="235">
        <v>7050860</v>
      </c>
      <c r="H21" s="236">
        <f>SUM(H22:H28)</f>
        <v>8461032</v>
      </c>
      <c r="I21" s="236">
        <f>SUM(I22:I28)</f>
        <v>9251793.9199999999</v>
      </c>
      <c r="J21" s="221"/>
      <c r="K21" s="213"/>
    </row>
    <row r="22" spans="4:13">
      <c r="D22" s="232" t="s">
        <v>295</v>
      </c>
      <c r="E22" s="233">
        <v>3842088</v>
      </c>
      <c r="F22" s="234">
        <v>2592702</v>
      </c>
      <c r="G22" s="235">
        <v>2524701</v>
      </c>
      <c r="H22" s="236">
        <f t="shared" si="1"/>
        <v>3029641.2</v>
      </c>
      <c r="I22" s="235">
        <v>3100000</v>
      </c>
      <c r="J22" s="220"/>
      <c r="K22" s="213"/>
    </row>
    <row r="23" spans="4:13">
      <c r="D23" s="232" t="s">
        <v>297</v>
      </c>
      <c r="E23" s="233">
        <v>642498</v>
      </c>
      <c r="F23" s="234">
        <v>519712</v>
      </c>
      <c r="G23" s="235">
        <v>525628</v>
      </c>
      <c r="H23" s="236">
        <f t="shared" si="1"/>
        <v>630753.60000000009</v>
      </c>
      <c r="I23" s="235">
        <v>630000</v>
      </c>
      <c r="J23" s="220"/>
      <c r="K23" s="213"/>
    </row>
    <row r="24" spans="4:13">
      <c r="D24" s="232" t="s">
        <v>299</v>
      </c>
      <c r="E24" s="233">
        <v>656263</v>
      </c>
      <c r="F24" s="234">
        <v>418776</v>
      </c>
      <c r="G24" s="235">
        <v>695132</v>
      </c>
      <c r="H24" s="236">
        <f t="shared" si="1"/>
        <v>834158.39999999991</v>
      </c>
      <c r="I24" s="235">
        <f t="shared" ref="I24:I28" si="2">+H24</f>
        <v>834158.39999999991</v>
      </c>
      <c r="J24" s="220"/>
      <c r="K24" s="213"/>
    </row>
    <row r="25" spans="4:13">
      <c r="D25" s="232" t="s">
        <v>301</v>
      </c>
      <c r="E25" s="233">
        <v>2266229</v>
      </c>
      <c r="F25" s="234">
        <v>1618795</v>
      </c>
      <c r="G25" s="235">
        <v>1626306</v>
      </c>
      <c r="H25" s="236">
        <f t="shared" si="1"/>
        <v>1951567.2000000002</v>
      </c>
      <c r="I25" s="235">
        <f>+H25*1.1</f>
        <v>2146723.9200000004</v>
      </c>
      <c r="J25" s="222" t="s">
        <v>451</v>
      </c>
      <c r="K25" s="213"/>
    </row>
    <row r="26" spans="4:13">
      <c r="D26" s="232" t="s">
        <v>303</v>
      </c>
      <c r="E26" s="233">
        <v>1367331</v>
      </c>
      <c r="F26" s="234">
        <v>910509</v>
      </c>
      <c r="G26" s="235">
        <v>1096093</v>
      </c>
      <c r="H26" s="236">
        <f t="shared" si="1"/>
        <v>1315311.6000000001</v>
      </c>
      <c r="I26" s="235">
        <f t="shared" si="2"/>
        <v>1315311.6000000001</v>
      </c>
      <c r="J26" s="215"/>
      <c r="K26" s="213"/>
    </row>
    <row r="27" spans="4:13">
      <c r="D27" s="232" t="s">
        <v>305</v>
      </c>
      <c r="E27" s="233">
        <v>131388</v>
      </c>
      <c r="F27" s="234">
        <v>114250</v>
      </c>
      <c r="G27" s="238"/>
      <c r="H27" s="243">
        <f t="shared" si="1"/>
        <v>0</v>
      </c>
      <c r="I27" s="235">
        <v>526000</v>
      </c>
      <c r="J27" s="216" t="s">
        <v>450</v>
      </c>
      <c r="K27" s="213"/>
    </row>
    <row r="28" spans="4:13">
      <c r="D28" s="232" t="s">
        <v>307</v>
      </c>
      <c r="E28" s="233">
        <v>712892</v>
      </c>
      <c r="F28" s="234">
        <v>583000</v>
      </c>
      <c r="G28" s="244">
        <v>583000</v>
      </c>
      <c r="H28" s="243">
        <f t="shared" si="1"/>
        <v>699600</v>
      </c>
      <c r="I28" s="235">
        <f t="shared" si="2"/>
        <v>699600</v>
      </c>
      <c r="J28" s="216"/>
      <c r="K28" s="213"/>
    </row>
    <row r="29" spans="4:13">
      <c r="D29" s="232" t="s">
        <v>309</v>
      </c>
      <c r="E29" s="233">
        <v>21665673</v>
      </c>
      <c r="F29" s="234">
        <v>16915128</v>
      </c>
      <c r="G29" s="235">
        <v>17366822</v>
      </c>
      <c r="H29" s="236">
        <f>SUM(H30:H47)</f>
        <v>20817278.400000002</v>
      </c>
      <c r="I29" s="236">
        <f>SUM(I30:I47)</f>
        <v>23499349.600000001</v>
      </c>
      <c r="J29" s="221"/>
      <c r="K29" s="213"/>
    </row>
    <row r="30" spans="4:13">
      <c r="D30" s="232" t="s">
        <v>312</v>
      </c>
      <c r="E30" s="233">
        <v>1722202</v>
      </c>
      <c r="F30" s="234">
        <v>1267002</v>
      </c>
      <c r="G30" s="235">
        <v>1117056</v>
      </c>
      <c r="H30" s="236">
        <f t="shared" si="1"/>
        <v>1340467.2000000002</v>
      </c>
      <c r="I30" s="235">
        <v>1350000</v>
      </c>
      <c r="J30" s="220"/>
      <c r="K30" s="213"/>
    </row>
    <row r="31" spans="4:13">
      <c r="D31" s="232" t="s">
        <v>58</v>
      </c>
      <c r="E31" s="233">
        <v>15395</v>
      </c>
      <c r="G31" s="244">
        <v>48390</v>
      </c>
      <c r="H31" s="243">
        <f t="shared" si="1"/>
        <v>58068</v>
      </c>
      <c r="I31" s="233">
        <v>50000</v>
      </c>
      <c r="J31" s="223"/>
      <c r="K31" s="213"/>
    </row>
    <row r="32" spans="4:13">
      <c r="D32" s="232" t="s">
        <v>314</v>
      </c>
      <c r="E32" s="233">
        <v>20815</v>
      </c>
      <c r="F32" s="234">
        <v>13100</v>
      </c>
      <c r="G32" s="244">
        <v>6780</v>
      </c>
      <c r="H32" s="243">
        <f t="shared" si="1"/>
        <v>8136</v>
      </c>
      <c r="I32" s="233">
        <v>10000</v>
      </c>
      <c r="J32" s="223"/>
      <c r="K32" s="213"/>
    </row>
    <row r="33" spans="4:13">
      <c r="D33" s="232" t="s">
        <v>316</v>
      </c>
      <c r="E33" s="233">
        <v>432271</v>
      </c>
      <c r="F33" s="234">
        <v>329468</v>
      </c>
      <c r="G33" s="244">
        <v>351240</v>
      </c>
      <c r="H33" s="243">
        <f t="shared" si="1"/>
        <v>421488</v>
      </c>
      <c r="I33" s="233">
        <v>420000</v>
      </c>
      <c r="J33" s="223"/>
      <c r="K33" s="213"/>
    </row>
    <row r="34" spans="4:13">
      <c r="D34" s="232" t="s">
        <v>459</v>
      </c>
      <c r="E34" s="233">
        <v>160545</v>
      </c>
      <c r="F34" s="234">
        <v>110119</v>
      </c>
      <c r="G34" s="245">
        <v>92619</v>
      </c>
      <c r="H34" s="246">
        <f t="shared" si="1"/>
        <v>111142.79999999999</v>
      </c>
      <c r="I34" s="245">
        <f>120000+200000</f>
        <v>320000</v>
      </c>
      <c r="J34" s="222"/>
      <c r="K34" s="213"/>
      <c r="M34" s="225"/>
    </row>
    <row r="35" spans="4:13">
      <c r="D35" s="232" t="s">
        <v>446</v>
      </c>
      <c r="E35" s="233"/>
      <c r="F35" s="234"/>
      <c r="G35" s="245">
        <v>12190</v>
      </c>
      <c r="H35" s="246">
        <f t="shared" si="1"/>
        <v>14628</v>
      </c>
      <c r="I35" s="245">
        <f>+H35*1.1</f>
        <v>16090.800000000001</v>
      </c>
      <c r="J35" s="222" t="s">
        <v>451</v>
      </c>
      <c r="K35" s="213"/>
    </row>
    <row r="36" spans="4:13">
      <c r="D36" s="232" t="s">
        <v>320</v>
      </c>
      <c r="E36" s="233">
        <v>5060</v>
      </c>
      <c r="F36" s="234">
        <v>4400</v>
      </c>
      <c r="G36" s="247">
        <v>210848</v>
      </c>
      <c r="H36" s="248">
        <f t="shared" si="1"/>
        <v>253017.59999999998</v>
      </c>
      <c r="I36" s="249">
        <v>70000</v>
      </c>
      <c r="J36" s="219" t="s">
        <v>452</v>
      </c>
      <c r="K36" s="213"/>
    </row>
    <row r="37" spans="4:13">
      <c r="D37" s="232" t="s">
        <v>322</v>
      </c>
      <c r="E37" s="233">
        <v>327389</v>
      </c>
      <c r="F37" s="234">
        <v>223212</v>
      </c>
      <c r="G37" s="244">
        <v>218288</v>
      </c>
      <c r="H37" s="243">
        <f t="shared" si="1"/>
        <v>261945.59999999998</v>
      </c>
      <c r="I37" s="233">
        <v>270000</v>
      </c>
      <c r="J37" s="223"/>
      <c r="K37" s="213"/>
    </row>
    <row r="38" spans="4:13">
      <c r="D38" s="232" t="s">
        <v>326</v>
      </c>
      <c r="E38" s="233">
        <v>328900</v>
      </c>
      <c r="F38" s="234">
        <v>286000</v>
      </c>
      <c r="G38" s="244">
        <v>236590</v>
      </c>
      <c r="H38" s="243">
        <f t="shared" si="1"/>
        <v>283908</v>
      </c>
      <c r="I38" s="233">
        <v>300000</v>
      </c>
      <c r="J38" s="223"/>
      <c r="K38" s="213"/>
    </row>
    <row r="39" spans="4:13">
      <c r="D39" s="232" t="s">
        <v>328</v>
      </c>
      <c r="E39" s="233">
        <v>2055662</v>
      </c>
      <c r="F39" s="234">
        <v>1472674</v>
      </c>
      <c r="G39" s="244">
        <v>1507874</v>
      </c>
      <c r="H39" s="243">
        <f t="shared" si="1"/>
        <v>1809448.7999999998</v>
      </c>
      <c r="I39" s="233">
        <v>1810000</v>
      </c>
      <c r="J39" s="223"/>
      <c r="K39" s="213"/>
    </row>
    <row r="40" spans="4:13">
      <c r="D40" s="232" t="s">
        <v>330</v>
      </c>
      <c r="E40" s="233">
        <v>240626</v>
      </c>
      <c r="F40" s="234">
        <v>178490</v>
      </c>
      <c r="G40" s="244">
        <v>316105</v>
      </c>
      <c r="H40" s="243">
        <f t="shared" si="1"/>
        <v>379326</v>
      </c>
      <c r="I40" s="233">
        <v>360000</v>
      </c>
      <c r="J40" s="223"/>
      <c r="K40" s="213"/>
    </row>
    <row r="41" spans="4:13">
      <c r="D41" s="232" t="s">
        <v>305</v>
      </c>
      <c r="E41" s="233">
        <v>22598</v>
      </c>
      <c r="F41" s="234">
        <v>19650</v>
      </c>
      <c r="G41" s="244">
        <v>59380</v>
      </c>
      <c r="H41" s="243">
        <f t="shared" si="1"/>
        <v>71256</v>
      </c>
      <c r="I41" s="233">
        <v>60000</v>
      </c>
      <c r="J41" s="223"/>
      <c r="K41" s="213"/>
    </row>
    <row r="42" spans="4:13">
      <c r="D42" s="232" t="s">
        <v>307</v>
      </c>
      <c r="E42" s="233">
        <v>134508</v>
      </c>
      <c r="F42" s="234">
        <v>110000</v>
      </c>
      <c r="G42" s="244">
        <v>110000</v>
      </c>
      <c r="H42" s="243">
        <f t="shared" si="1"/>
        <v>132000</v>
      </c>
      <c r="I42" s="233">
        <f>+H42</f>
        <v>132000</v>
      </c>
      <c r="J42" s="223"/>
      <c r="K42" s="213"/>
    </row>
    <row r="43" spans="4:13">
      <c r="D43" s="232" t="s">
        <v>334</v>
      </c>
      <c r="E43" s="233">
        <v>15568682</v>
      </c>
      <c r="F43" s="234">
        <v>12413150</v>
      </c>
      <c r="G43" s="244">
        <v>12485418</v>
      </c>
      <c r="H43" s="243">
        <f t="shared" si="1"/>
        <v>14982501.600000001</v>
      </c>
      <c r="I43" s="233">
        <f>1400000*12*1.05</f>
        <v>17640000</v>
      </c>
      <c r="J43" s="223" t="s">
        <v>453</v>
      </c>
      <c r="K43" s="213" t="s">
        <v>455</v>
      </c>
    </row>
    <row r="44" spans="4:13">
      <c r="D44" s="232" t="s">
        <v>336</v>
      </c>
      <c r="E44" s="233">
        <v>690</v>
      </c>
      <c r="F44" s="234">
        <v>600</v>
      </c>
      <c r="G44" s="244">
        <v>19800</v>
      </c>
      <c r="H44" s="243">
        <f>+G44</f>
        <v>19800</v>
      </c>
      <c r="I44" s="233">
        <v>20000</v>
      </c>
      <c r="J44" s="223"/>
      <c r="K44" s="213"/>
    </row>
    <row r="45" spans="4:13">
      <c r="D45" s="232" t="s">
        <v>338</v>
      </c>
      <c r="E45" s="233">
        <v>441097</v>
      </c>
      <c r="F45" s="234">
        <v>327713</v>
      </c>
      <c r="G45" s="244">
        <v>419905</v>
      </c>
      <c r="H45" s="243">
        <f t="shared" si="1"/>
        <v>503886</v>
      </c>
      <c r="I45" s="233">
        <v>505000</v>
      </c>
      <c r="J45" s="223"/>
      <c r="K45" s="213"/>
    </row>
    <row r="46" spans="4:13">
      <c r="D46" s="232" t="s">
        <v>340</v>
      </c>
      <c r="E46" s="233">
        <v>136361</v>
      </c>
      <c r="F46" s="234">
        <v>113575</v>
      </c>
      <c r="G46" s="244">
        <v>94740</v>
      </c>
      <c r="H46" s="243">
        <f>+G46</f>
        <v>94740</v>
      </c>
      <c r="I46" s="233">
        <f>+H46</f>
        <v>94740</v>
      </c>
      <c r="J46" s="223"/>
      <c r="K46" s="213"/>
    </row>
    <row r="47" spans="4:13">
      <c r="D47" s="232" t="s">
        <v>342</v>
      </c>
      <c r="E47" s="233">
        <v>30415</v>
      </c>
      <c r="F47" s="234">
        <v>26448</v>
      </c>
      <c r="G47" s="244">
        <v>59599</v>
      </c>
      <c r="H47" s="243">
        <f t="shared" si="1"/>
        <v>71518.799999999988</v>
      </c>
      <c r="I47" s="233">
        <f>+H47</f>
        <v>71518.799999999988</v>
      </c>
      <c r="J47" s="223"/>
      <c r="K47" s="213"/>
    </row>
    <row r="48" spans="4:13">
      <c r="D48" s="232" t="s">
        <v>344</v>
      </c>
      <c r="E48" s="233">
        <v>2391838</v>
      </c>
      <c r="F48" s="234">
        <v>1972538</v>
      </c>
      <c r="G48" s="235">
        <v>1972538</v>
      </c>
      <c r="H48" s="236">
        <f>+H49</f>
        <v>2367045.5999999996</v>
      </c>
      <c r="I48" s="236">
        <f>+I49</f>
        <v>2367045.5999999996</v>
      </c>
      <c r="J48" s="217"/>
      <c r="K48" s="213"/>
    </row>
    <row r="49" spans="4:11">
      <c r="D49" s="232" t="s">
        <v>347</v>
      </c>
      <c r="E49" s="233">
        <v>2699326</v>
      </c>
      <c r="F49" s="234">
        <v>1972538</v>
      </c>
      <c r="G49" s="235">
        <v>1972538</v>
      </c>
      <c r="H49" s="236">
        <f t="shared" si="1"/>
        <v>2367045.5999999996</v>
      </c>
      <c r="I49" s="235">
        <f>+H49</f>
        <v>2367045.5999999996</v>
      </c>
      <c r="J49" s="220"/>
      <c r="K49" s="213"/>
    </row>
    <row r="50" spans="4:11">
      <c r="D50" s="232" t="s">
        <v>349</v>
      </c>
      <c r="E50" s="233">
        <v>142474150</v>
      </c>
      <c r="F50" s="234">
        <v>108808677</v>
      </c>
      <c r="G50" s="235">
        <v>122706890</v>
      </c>
      <c r="H50" s="236">
        <f>+H48+H29+H21+H15</f>
        <v>156543526.80000001</v>
      </c>
      <c r="I50" s="236">
        <f>+I48+I29+I21+I15</f>
        <v>154621582.08000001</v>
      </c>
      <c r="J50" s="217"/>
      <c r="K50" s="213"/>
    </row>
    <row r="51" spans="4:11" ht="25.5">
      <c r="D51" s="232" t="s">
        <v>352</v>
      </c>
      <c r="E51" s="233">
        <v>10291586</v>
      </c>
      <c r="F51" s="234">
        <v>1797255</v>
      </c>
      <c r="G51" s="250">
        <v>-4315988</v>
      </c>
      <c r="H51" s="251">
        <f>+H13-H50</f>
        <v>-3777789.8000000119</v>
      </c>
      <c r="I51" s="251">
        <f>+I13-I50</f>
        <v>9872419.4068140686</v>
      </c>
      <c r="J51" s="224"/>
      <c r="K51" s="213"/>
    </row>
  </sheetData>
  <phoneticPr fontId="3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決算みこみ</vt:lpstr>
      <vt:lpstr>給与体系 </vt:lpstr>
      <vt:lpstr>勤続加算</vt:lpstr>
      <vt:lpstr>24決算、25予算</vt:lpstr>
      <vt:lpstr>２６年度予算資料</vt:lpstr>
      <vt:lpstr>'給与体系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子どもの家 共同保育所</cp:lastModifiedBy>
  <cp:lastPrinted>2026-06-29T04:57:14Z</cp:lastPrinted>
  <dcterms:created xsi:type="dcterms:W3CDTF">2022-02-16T15:03:00Z</dcterms:created>
  <dcterms:modified xsi:type="dcterms:W3CDTF">2026-06-29T04:58:04Z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